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90" windowWidth="11355" windowHeight="8685" tabRatio="690" activeTab="0"/>
  </bookViews>
  <sheets>
    <sheet name="Financial Statements" sheetId="1" r:id="rId1"/>
    <sheet name="Member Statements" sheetId="2" r:id="rId2"/>
    <sheet name="Minutes" sheetId="3" r:id="rId3"/>
    <sheet name="Workings" sheetId="4" r:id="rId4"/>
    <sheet name="Securities" sheetId="5" r:id="rId5"/>
    <sheet name="Bank" sheetId="6" r:id="rId6"/>
    <sheet name="Representation" sheetId="7" r:id="rId7"/>
  </sheets>
  <definedNames>
    <definedName name="$1568.50" hidden="1">#NAME?</definedName>
    <definedName name="_xlfn.IFERROR" hidden="1">#NAME?</definedName>
    <definedName name="_xlfn.SUMIFS" hidden="1">#NAME?</definedName>
    <definedName name="_xlnm.Print_Area" localSheetId="0">'Financial Statements'!$A$7:$I$277</definedName>
    <definedName name="_xlnm.Print_Area" localSheetId="1">'Member Statements'!$A$1:$F$28</definedName>
    <definedName name="_xlnm.Print_Area" localSheetId="6">'Representation'!$A$1:$N$144</definedName>
  </definedNames>
  <calcPr fullCalcOnLoad="1"/>
  <pivotCaches>
    <pivotCache cacheId="1" r:id="rId8"/>
  </pivotCaches>
</workbook>
</file>

<file path=xl/sharedStrings.xml><?xml version="1.0" encoding="utf-8"?>
<sst xmlns="http://schemas.openxmlformats.org/spreadsheetml/2006/main" count="473" uniqueCount="356">
  <si>
    <t>(g) Payables</t>
  </si>
  <si>
    <t>(h) Goods and Services Tax (GST)</t>
  </si>
  <si>
    <t>The GST incurred on the costs of services provided to the Fund has been paid by the Fund. The Fund does not claim back GST and GST amounts are expenses in the Fund. Accounts Payable and Accrued Expenses are stated inclusive of GST.</t>
  </si>
  <si>
    <t>NOTE 4: NET ASSETS ATTRIBUTABLE TO BENEFICIARIES</t>
  </si>
  <si>
    <t>NOTE 5: CONTINGENT ASSETS AND LIABILITIES AND COMMITMENTS</t>
  </si>
  <si>
    <t>NOTE 6: EVENTS OCCURRING AFTER THE BALANCE SHEET DATE</t>
  </si>
  <si>
    <t>NOTE 3: SUMMARY OF SIGNIFICANT ACCOUNTING POLICIES</t>
  </si>
  <si>
    <t xml:space="preserve">The financial statements are prepared on the basis of fair value measurement of assets and liabilities except where otherwise stated. The Balance Sheet are presented on a liquidity basis. Assets and liabilities are presented in decreasing order of liquidity and are not distinguished between current and non-current. All balances are expected to be recovered or settled within twelve months, except for investments and benefits accrued to Beneficiaries. </t>
  </si>
  <si>
    <t xml:space="preserve">The Fund has applied the revised AASB 101 Presentation of Financial Statements which became effective on 1January 2009. As a Cash Flow Statement is not required by the Australian Tax Office ("ATO"), the regulator of Self Managed Superannuation Funds ("SMSF's") this is not presented. </t>
  </si>
  <si>
    <t xml:space="preserve">The Fund is subject to income tax at a concessional rate as this is a complying SMSF. The Income Tax Liability has been calculated on this basis. </t>
  </si>
  <si>
    <t>Payables include amounts due to brokers, liabilities and accrued expenses owing by the Fund which are unpaid as at balance date. Trades are recorded on trade date, and normally settled within three business days. Purchases of securities and investments that are unsettled at reporting date are included in payables.</t>
  </si>
  <si>
    <t>Closing balance</t>
  </si>
  <si>
    <t xml:space="preserve">These financial statements are prepared on the basis that the Fund is a non-reporting entity. There are no users dependant on these financial reports as general purpose financial statements. These financial statements have been prepared to meet the needs of its Trustees. </t>
  </si>
  <si>
    <t xml:space="preserve">All investments are held at net market values. Financial assets and financial liabilities are in accordance with the Fund's documented investment strategy. Changes in the net market value of assets are brought into the Income Statement in the periods in which it occur. </t>
  </si>
  <si>
    <t>(c) Investments and Financial Instruments</t>
  </si>
  <si>
    <t>Net market values have been determined as follows:</t>
  </si>
  <si>
    <t xml:space="preserve">i. Shares and other listed securities listed at market quotations at the reporting date; </t>
  </si>
  <si>
    <t xml:space="preserve">ii. Units in managed funds are valued at redemption prices at the reporting date; </t>
  </si>
  <si>
    <t>iii. Insurance policies are valued at the surrender value of the policy; and</t>
  </si>
  <si>
    <t xml:space="preserve">iv. Investment properties are valued at Trustees' assessment of realisable value. </t>
  </si>
  <si>
    <t>NOTE 8: INCOME TAX</t>
  </si>
  <si>
    <t xml:space="preserve">Income Tax is payable at the rate of 15% on the contributions received and the income of the SMSF. There has been no change in the Income Tax rate during the reporting period. </t>
  </si>
  <si>
    <t xml:space="preserve">The Trustees have determined that the SMSF is not a reporting entity and that this special purpose financial report is prepared in accordance with the notes as set out in the financial statements. </t>
  </si>
  <si>
    <t>In the opinion of the Trustees:</t>
  </si>
  <si>
    <t>ii. The Financial Statements have been prepared in accordance with the Trust Deed of the Fund; and</t>
  </si>
  <si>
    <t>Signed in accordance with a resolution of the Trustees by:</t>
  </si>
  <si>
    <t>_____________________________________________</t>
  </si>
  <si>
    <t>Trustee:</t>
  </si>
  <si>
    <t>Enter data here:</t>
  </si>
  <si>
    <t>$</t>
  </si>
  <si>
    <t>Investments</t>
  </si>
  <si>
    <t>Real Estate Properties</t>
  </si>
  <si>
    <t>Separate Managed Accounts</t>
  </si>
  <si>
    <t>Other assets</t>
  </si>
  <si>
    <t>Total assets</t>
  </si>
  <si>
    <t>Liabilities</t>
  </si>
  <si>
    <t>Income tax payable</t>
  </si>
  <si>
    <t>Net assets available to pay Benefits</t>
  </si>
  <si>
    <t>Represented by:</t>
  </si>
  <si>
    <t>Liability for Accrued Benefits</t>
  </si>
  <si>
    <t>Fund</t>
  </si>
  <si>
    <t>Trustee 1</t>
  </si>
  <si>
    <t>Trustee 2</t>
  </si>
  <si>
    <t>The above Balance Sheet should be read in conjunction with the accompanying notes</t>
  </si>
  <si>
    <t>Income</t>
  </si>
  <si>
    <t>Employer Contributions - Concessional</t>
  </si>
  <si>
    <t xml:space="preserve">Rent </t>
  </si>
  <si>
    <t>Expenses</t>
  </si>
  <si>
    <t>Accounting fees</t>
  </si>
  <si>
    <t>Audit fees</t>
  </si>
  <si>
    <t>ATO Supervisory levy</t>
  </si>
  <si>
    <t>Benefits Accrued before Income Tax</t>
  </si>
  <si>
    <t>Income Tax</t>
  </si>
  <si>
    <t>Income Tax Expense</t>
  </si>
  <si>
    <t>Deferred Tax Liability</t>
  </si>
  <si>
    <t>Benefits Accrued after Tax</t>
  </si>
  <si>
    <t>The above Income Statement should be read in conjunction with the accompanying notes</t>
  </si>
  <si>
    <t>ABN</t>
  </si>
  <si>
    <t>NOTE 1: GENERAL INFORMATION</t>
  </si>
  <si>
    <t>NOTE 2: ADOPTION OF NEW AND REVISED ACCOUNTING STANDARDS</t>
  </si>
  <si>
    <t>a. Standards affecting presentation and disclosure</t>
  </si>
  <si>
    <t>(a) Basis of Preparation</t>
  </si>
  <si>
    <t>(b) Financial statement presentation</t>
  </si>
  <si>
    <t xml:space="preserve">
The Fund recognise financial assets and liabilities on the date it becomes party to the contractual agreement (trade date). Investments are derecognised when the rights to receive cashflows from the investments have expired or the Funds have transferred substantially all risks and rewards of ownership. The Funds have designated all of their financial instruments (except derivatives) as at fair value through profit or loss. These financial instruments are initially recognised at fair value, typically represented by cost excluding transaction costs, which are expensed as incurred. Subsequent to initial recognition all instruments are measured at fair value. Changes in fair value are taken to the Income Statement. Financial Assets and liabilities are offset and the net amount reported in the Balance Sheet when there is a legally enforceable right to offset the recognised amounts and there is an intention to settle on a net basis, or realise the asset and settle the liability simultaneously.</t>
  </si>
  <si>
    <t>(d) Expenses</t>
  </si>
  <si>
    <t>All expenses, including Responsible Entity’s fees and custodian fees, are recognised in Statements of Comprehensive Income on an accruals basis.</t>
  </si>
  <si>
    <t>Receivables may include amounts for dividends, interest, trust distributions and amounts due from brokers. Dividends and trust distributions are accrued when the right to receive payment is established. Interest is accrued at the reporting date from the time of last payment using the effective interest rate method. Amounts due from brokers represent receivables for securities sold that have been contracted for but not yet delivered by the end of the year. Trades are recorded on trade date, and normally settled within three business days.</t>
  </si>
  <si>
    <t>(f) Receivables</t>
  </si>
  <si>
    <t>Income Tax Refundable</t>
  </si>
  <si>
    <t>Distributions Received</t>
  </si>
  <si>
    <t>Interest Received</t>
  </si>
  <si>
    <t>Realised Gains</t>
  </si>
  <si>
    <t xml:space="preserve">Roll-overs Received </t>
  </si>
  <si>
    <t>Member \ Personal Contributions - Non Concessional</t>
  </si>
  <si>
    <t>Investment Expenses</t>
  </si>
  <si>
    <t xml:space="preserve">This financial report consist of the financial statements for  Property Profits Superannuation Fund (“the Fund”). The financial statements were authorised for issue by the Trustees of the Fund. </t>
  </si>
  <si>
    <t>NOTE 7: GUARANTEED BENEFITS</t>
  </si>
  <si>
    <t>No guarantees have been given as part of the accrued benefits.</t>
  </si>
  <si>
    <t>Income tax payable has been calculated as follows:</t>
  </si>
  <si>
    <t>Member Benefit Statement</t>
  </si>
  <si>
    <t>Preserved</t>
  </si>
  <si>
    <t>Restricted non preserved</t>
  </si>
  <si>
    <t>Unrestricted non preserved</t>
  </si>
  <si>
    <t>Including</t>
  </si>
  <si>
    <t>Tax free component</t>
  </si>
  <si>
    <t>Taxable component</t>
  </si>
  <si>
    <t>Opening balance</t>
  </si>
  <si>
    <t>Balance components</t>
  </si>
  <si>
    <t>Share of net income</t>
  </si>
  <si>
    <t>Control totals</t>
  </si>
  <si>
    <t>Per Balance Sheet</t>
  </si>
  <si>
    <t>Check total</t>
  </si>
  <si>
    <t>Shares in Listed Securities - Australia</t>
  </si>
  <si>
    <t>Deferred Tax Asset</t>
  </si>
  <si>
    <t xml:space="preserve">Member \ Personal Contributions - Non Taxable </t>
  </si>
  <si>
    <t>Revaluations</t>
  </si>
  <si>
    <t>Shares in Listed Companies</t>
  </si>
  <si>
    <t>Administration Costs</t>
  </si>
  <si>
    <t>Date</t>
  </si>
  <si>
    <t>Notes</t>
  </si>
  <si>
    <t>Taxable income</t>
  </si>
  <si>
    <t>Total</t>
  </si>
  <si>
    <t>Cost</t>
  </si>
  <si>
    <t>Note 9</t>
  </si>
  <si>
    <t>Note 8</t>
  </si>
  <si>
    <t xml:space="preserve">Deferred Tax Assets or Liabilities are not recognised in the financial statements. Tax expenses are accounted for as incurred for the year under review. As the intention of the fund is to provide income in retirement, which is a tax free environment, deferred tax is not accrued. </t>
  </si>
  <si>
    <t>(e) Income tax and Deferred Income Tax</t>
  </si>
  <si>
    <t>Superannuation Levy Surcharge</t>
  </si>
  <si>
    <t>Tax for the year</t>
  </si>
  <si>
    <t>Less - Imputation Credits</t>
  </si>
  <si>
    <t>Income tax payable (refundable)</t>
  </si>
  <si>
    <t>Allocations</t>
  </si>
  <si>
    <t>Opening Balance Sheet</t>
  </si>
  <si>
    <t>Less: Closing Balance Sheet</t>
  </si>
  <si>
    <t>Allocated to members</t>
  </si>
  <si>
    <t>Net assets attributable to members are set out in the Members Statement.</t>
  </si>
  <si>
    <t>No significant events which have occurred since balance date.</t>
  </si>
  <si>
    <t>referred to as the "Fund".</t>
  </si>
  <si>
    <t>Minutes of a meeting by the Trustees</t>
  </si>
  <si>
    <t>Trustees Present:</t>
  </si>
  <si>
    <t>Chair:</t>
  </si>
  <si>
    <t>Allocation of net income</t>
  </si>
  <si>
    <t>The Trustees approve the allocation of income to member accounts as set out on the members accounts and financial statement.</t>
  </si>
  <si>
    <t>Financial Reports</t>
  </si>
  <si>
    <t>Investment Strategy</t>
  </si>
  <si>
    <t xml:space="preserve">The Trustees confirm that the investment strategy used for the year under review is still relevant and current for the next financial year. </t>
  </si>
  <si>
    <t>Trustee Status</t>
  </si>
  <si>
    <t xml:space="preserve">The Trustees confirm they are not disqualified persons to act for the Fund in terms of the SIS act. </t>
  </si>
  <si>
    <t>Administrator</t>
  </si>
  <si>
    <t xml:space="preserve">The Trustees confirm Superannuation Warehouse as administrator of the Fund. This include lodging the tax return and appointing an auditor on behalf of the Fund. </t>
  </si>
  <si>
    <t>Closure</t>
  </si>
  <si>
    <t xml:space="preserve">There are no further business and the meeting was closed. </t>
  </si>
  <si>
    <t>Date: ____________________________</t>
  </si>
  <si>
    <t>Location: _____________________________________________________________________</t>
  </si>
  <si>
    <t>Formation Expenses</t>
  </si>
  <si>
    <t>Sundry Debtors</t>
  </si>
  <si>
    <t>Accruals</t>
  </si>
  <si>
    <t>Total liabilities</t>
  </si>
  <si>
    <t>Dividends Received</t>
  </si>
  <si>
    <t>Description</t>
  </si>
  <si>
    <t>Balance</t>
  </si>
  <si>
    <t>Dividend</t>
  </si>
  <si>
    <t>Bank Fees</t>
  </si>
  <si>
    <t>Interest</t>
  </si>
  <si>
    <t>Profit</t>
  </si>
  <si>
    <t>AWE</t>
  </si>
  <si>
    <t>Tax payments</t>
  </si>
  <si>
    <t>Grand Total</t>
  </si>
  <si>
    <t>Trustee 3</t>
  </si>
  <si>
    <t>Per cashbook</t>
  </si>
  <si>
    <t>Less accrued i.r.o. prior years</t>
  </si>
  <si>
    <t>Net dividends</t>
  </si>
  <si>
    <t>Bank fees &amp; sundry expenses</t>
  </si>
  <si>
    <t>Financial Statements prepared by:</t>
  </si>
  <si>
    <t>Superannuation Warehouse</t>
  </si>
  <si>
    <t>Level 3, 480 Collins Street</t>
  </si>
  <si>
    <t>Melbourne  VIC  3000</t>
  </si>
  <si>
    <t xml:space="preserve">Tel 03 8610 6999 </t>
  </si>
  <si>
    <t>Dividends Received - Franked</t>
  </si>
  <si>
    <t>Dividends Received - Imputation Credits</t>
  </si>
  <si>
    <t xml:space="preserve">No deferred tax asset or deferred tax liability is recognised in these financial statements. The intention of Trustees is to oprate the Fund for the retirement benefit of members. No tax is payable in the retirement phase and therefore no extra tax liability is created. . </t>
  </si>
  <si>
    <t>Benefits Accrued before Income Tax per the Income Statement</t>
  </si>
  <si>
    <t>Add Back non taxable items</t>
  </si>
  <si>
    <t xml:space="preserve">   </t>
  </si>
  <si>
    <t>Unrealised Gains - Listed Shares</t>
  </si>
  <si>
    <t>Rounded</t>
  </si>
  <si>
    <t>Tax Return Label</t>
  </si>
  <si>
    <t>H14b H</t>
  </si>
  <si>
    <t>H14b E</t>
  </si>
  <si>
    <t>H14b O</t>
  </si>
  <si>
    <t>H14c U</t>
  </si>
  <si>
    <t>H15 Y</t>
  </si>
  <si>
    <t>H15 W</t>
  </si>
  <si>
    <t>H15 Z</t>
  </si>
  <si>
    <t>Control</t>
  </si>
  <si>
    <t>Increase in Balance Sheet</t>
  </si>
  <si>
    <t>Increase in Income Statement</t>
  </si>
  <si>
    <t>Variance</t>
  </si>
  <si>
    <t>Acc fee provided included in the paid amounts</t>
  </si>
  <si>
    <t>ATO Surcharge paid in 2010 relating to 2008</t>
  </si>
  <si>
    <t>Unexplained variance</t>
  </si>
  <si>
    <t>B R2</t>
  </si>
  <si>
    <t>B B</t>
  </si>
  <si>
    <t>B K</t>
  </si>
  <si>
    <t>B C</t>
  </si>
  <si>
    <t>B V</t>
  </si>
  <si>
    <t>Not taxed</t>
  </si>
  <si>
    <t>C J</t>
  </si>
  <si>
    <t>C F</t>
  </si>
  <si>
    <t>C I</t>
  </si>
  <si>
    <t>C N</t>
  </si>
  <si>
    <t>CN</t>
  </si>
  <si>
    <t>CO</t>
  </si>
  <si>
    <t>DH</t>
  </si>
  <si>
    <t>Not Rounded</t>
  </si>
  <si>
    <t>D A</t>
  </si>
  <si>
    <t>D B</t>
  </si>
  <si>
    <t>D H</t>
  </si>
  <si>
    <t>D F4</t>
  </si>
  <si>
    <t>D I</t>
  </si>
  <si>
    <t>Trustee Representation to the Auditor of the Fund</t>
  </si>
  <si>
    <t>We confirm, to the best of our knowledge and belief, the following representations are made to you during your audit.</t>
  </si>
  <si>
    <t>1. Sole Purpose of the Fund</t>
  </si>
  <si>
    <t xml:space="preserve">The Fund is maintained for the sole purpose of providing benefits for each member on their retirement, death, termination of employment or ill-health. </t>
  </si>
  <si>
    <t>2. Trustees are not disqualified</t>
  </si>
  <si>
    <t>No disqualified person acts as a director of the trustee company or as an individual trustee.</t>
  </si>
  <si>
    <t>3. Investment Strategy</t>
  </si>
  <si>
    <t xml:space="preserve">The investment strategy has been determined with due regard to risk, return, liquidity and diversity, and the asset of the Fund are in line with this strategy. </t>
  </si>
  <si>
    <t>4. Accounting Policies</t>
  </si>
  <si>
    <t xml:space="preserve">All of the significant accounting policies of the Fund are adequately described in the Financial Statements and Notes thereto. These policies are consistently applied unless specifically noted in the Financial Statements and Notes.
</t>
  </si>
  <si>
    <t>5. Fund Books and Records</t>
  </si>
  <si>
    <t xml:space="preserve">All financial books, records and related data pertinent to the Fund, have been made available to you, including minutes of the Trustees’ meetings, the Trust Deed, as amended and the Fund’s rules and regulations.
We acknowledge our responsibility for the design and implementation of internal controls to prevent and detect error. We have established and maintained an adequate internal control structure to facilitate the preparation of reliable financial reports, and adequate financial records have been maintained. There are no material transactions that have not been properly recorded in the accounting records underlying the financial report. 
</t>
  </si>
  <si>
    <t xml:space="preserve">The Fund has considered the risk of fraud and determined it is not likely to impact the reliability of the financial report.
All accounting records and financial reports have been kept for five years, minutes and records of trustees; meetings have been kept for 10 years and trustee declarations in the approved form have been signed and kept for each trustee appointed after 30 June 2007.
There are no assets or liabilities of the Fund that have not been disclosed to you or the Fund Administration Manager. The Financial Statements accurately disclose the full extent of the assets and liabilities of the Fund.
</t>
  </si>
  <si>
    <t>6. Asset Form</t>
  </si>
  <si>
    <t xml:space="preserve">The assets of the Fund are being held in a form suitable for the benefit of the Members of the Fund, and have been stated at their Net Market Value. 
Investments are carried in the books at their net market value. Such amount are considered reasonable in light of present circumstances. 
We have no plans or intentions that may materially affect the carrying values, or classification, of assets and liabilities.
There are no commitments, fixed or contingent, for the purchase or sale of long term investments.  
</t>
  </si>
  <si>
    <t>7. Ownership and Pledging of Assets</t>
  </si>
  <si>
    <t xml:space="preserve">The Fund has satisfactory title to all assets disclosed in the Statement of Financial Position. All investments are registered in the name of the Fund, where possible, and are in the custody of the respective trustee.
There are no liens or encumbrances on any assets or benefits and no assets, benefits or interests in the Fund have been pledged or assigned to secure liabilities of others.
All assets of the Fund are held separately from the assets of the members, employers and the trustees. All assets are acquired, maintained and disposed of on an arm’s length basis and appropriate action is taken to protect the assets of the Fund.
</t>
  </si>
  <si>
    <t>8. Related Parties</t>
  </si>
  <si>
    <t xml:space="preserve">Related party transactions and related amounts receivable have been properly recorded or disclosed in the financial report. 
Acquisitions from, loans to leasing of assets to and investments in related parties have not exceeded the in-house asset restrictions in the SIS Act at the time of investment, acquisition or at year end. 
The Fund has not made any loans or provided financial assistance to members of the Fund or their relatives.
</t>
  </si>
  <si>
    <t>9. Borrowings</t>
  </si>
  <si>
    <t xml:space="preserve">The Fund has not borrowed money or maintained any borrowings during the period, with the exception of borrowings which were allowable under the SIS Act. 
</t>
  </si>
  <si>
    <t>10. Investments</t>
  </si>
  <si>
    <t xml:space="preserve">The values of the investments of the Fund are considered reasonable in consideration of prevailing circumstances, and there has not been any permanent diminution in their value below the amounts recorded in the Financial Statements. There are no commitments, fixed or contingent, for the purchase or sale of long-term investments.
The Trustee has complied with all the investment standards and rules contained in the SIS Act and all investments held at 30 June 2010 and investment transactions for the year then ended were undertaken in accordance with the Fund’s investment strategy.
</t>
  </si>
  <si>
    <t>11. Trust Deed and Trustee's Responsibilities</t>
  </si>
  <si>
    <t xml:space="preserve">The Fund is being conducted in accordance with its Trust Deed and Rules. All Trust Deed amendments necessary for the Fund to comply with the SIS Act and other Federal and State Regulations applicable to superannuation funds, have been made in accordance with the requirements of those standards and regulations.
Appropriate Risk Management Statements have been prepared in accordance with the Guidelines set out in the APRA Circular on Risk Management Statements for Superannuation Entities investing in Derivatives. 
There have been no irregularities involving the Trustee or any of the Trustee’s management, that could have a material effect on the financial statements.
</t>
  </si>
  <si>
    <t>We confirm that we have distributed all required reports and other information to members in the form and including the minimum information as required by the SIS Act at the relevant times specified by the SIS Act.  This information has been distributed within the timeframe set out in the SIS Act and Regulations.</t>
  </si>
  <si>
    <t>12. Information to Members</t>
  </si>
  <si>
    <t xml:space="preserve">Requests for information by members have been met in accordance with the standards.
</t>
  </si>
  <si>
    <t>13. Subsequent Events</t>
  </si>
  <si>
    <t>14. Fraud, Error and Non-Compliance</t>
  </si>
  <si>
    <t xml:space="preserve">There has been no:
a. Fraud, error or non-compliance with laws and regulations involving management who have a significant role in internal control;
b. Fraud, error or non-compliance with laws and regulations that could have a material effect on the financial report; and
c. Communications from regulatory agencies concerning non-compliance with, or deficiencies in, financial reporting practices that could have a material effect on the financial report.
There are no violations or possible violations of laws or regulations whose effects should be considered for disclosure in the financial report or as a basis for recording an expense. There have been no communications from any regulatory body concerning a contravention of the SIS Act, SIS Regulations and or the Corporations Act 2001, which has occurred, is occurring, or is about to occur.
</t>
  </si>
  <si>
    <t>15. Outstanding Legal Action</t>
  </si>
  <si>
    <t xml:space="preserve">The Trustees confirm that there is no outstanding legal action or claims against the Fund. 
There have been no communications from the ATO concerning a contravention of the SIS Act or Regulations which has occurred, is occurring or is about to occur.
</t>
  </si>
  <si>
    <t>16. Internal Controls</t>
  </si>
  <si>
    <t>We have established and maintained an adequate internal control structure to facilitate the preparation of a reliable financial report, and adequate financial records have been maintained. There are no material transactions that have not been properly recorded in the accounting records underlying the financial report.</t>
  </si>
  <si>
    <t xml:space="preserve">Yours sincerely,
For and on behalf of the Trustees
</t>
  </si>
  <si>
    <t xml:space="preserve">
.......................................................                                           ……………………
Signature of Trustee                                                                     Date
</t>
  </si>
  <si>
    <t>Interest paid</t>
  </si>
  <si>
    <t xml:space="preserve">Managed Funds </t>
  </si>
  <si>
    <t>Prepaid interest</t>
  </si>
  <si>
    <t>Sundry creditors</t>
  </si>
  <si>
    <t>Trustees are not disqualified persons</t>
  </si>
  <si>
    <t xml:space="preserve">The Trustees declare that they are not disqualified from acting as Trustee for a Superannuation Fund under the SIS Act. This means no convictions for dishonest conduct, being an unrehabilitated insolvent or or have a civil penalty under the SIS Act. </t>
  </si>
  <si>
    <t>Sandhurst Trustees Bank account</t>
  </si>
  <si>
    <t>Key Capital Deposit</t>
  </si>
  <si>
    <t>Accounting Fees</t>
  </si>
  <si>
    <t>John Pension</t>
  </si>
  <si>
    <t>Glenda Pension</t>
  </si>
  <si>
    <t>Actuary fee</t>
  </si>
  <si>
    <t>Tax Refund</t>
  </si>
  <si>
    <t>Transaction value</t>
  </si>
  <si>
    <t>Franking Credits</t>
  </si>
  <si>
    <t>Iress</t>
  </si>
  <si>
    <t>Sum of Transaction value</t>
  </si>
  <si>
    <t>Pivot table</t>
  </si>
  <si>
    <t>Tax Deferred</t>
  </si>
  <si>
    <t>CIA High Interest Account referred to as B4 in workings</t>
  </si>
  <si>
    <t>Interest received</t>
  </si>
  <si>
    <t>Cca cash transaction shares Account referred to as B3 in workings</t>
  </si>
  <si>
    <t>Transfers to other Comsec acc B3</t>
  </si>
  <si>
    <t>Transfers to other Comsec acc B4</t>
  </si>
  <si>
    <t>Deposits in the account from B3</t>
  </si>
  <si>
    <t>Transfers to Interest Acc B4</t>
  </si>
  <si>
    <t>Less: Shares buys funds out</t>
  </si>
  <si>
    <t>Plus: Shares sold proceeds</t>
  </si>
  <si>
    <t>Shares</t>
  </si>
  <si>
    <t>Plus: Purchases</t>
  </si>
  <si>
    <t>Less: Sales</t>
  </si>
  <si>
    <t>Write off in Income statement</t>
  </si>
  <si>
    <t>Workings</t>
  </si>
  <si>
    <t>Debtors written off</t>
  </si>
  <si>
    <t>Sundry Crreditors</t>
  </si>
  <si>
    <t>Accounting Fees paid</t>
  </si>
  <si>
    <t>Expense for the year</t>
  </si>
  <si>
    <t xml:space="preserve">Tax Deferred income </t>
  </si>
  <si>
    <t>ATO</t>
  </si>
  <si>
    <t>Interest Received - ATO</t>
  </si>
  <si>
    <t>Pensions paid</t>
  </si>
  <si>
    <t>Interest received - Cash at Bank Sandhurst</t>
  </si>
  <si>
    <t>Interest received - Cash at Bank CommSec</t>
  </si>
  <si>
    <t>Detailed Investments</t>
  </si>
  <si>
    <t>Share</t>
  </si>
  <si>
    <t>Runge</t>
  </si>
  <si>
    <t xml:space="preserve">NAB </t>
  </si>
  <si>
    <t>Bendigo</t>
  </si>
  <si>
    <t>Telstra</t>
  </si>
  <si>
    <t>Australia Foundation</t>
  </si>
  <si>
    <t>Excela</t>
  </si>
  <si>
    <t>ELK Petroleum</t>
  </si>
  <si>
    <t>Sonic</t>
  </si>
  <si>
    <t>Gunns</t>
  </si>
  <si>
    <t>Mirabela</t>
  </si>
  <si>
    <t>UXC Tld</t>
  </si>
  <si>
    <t>Seek</t>
  </si>
  <si>
    <t>Energy World</t>
  </si>
  <si>
    <t>Industrea</t>
  </si>
  <si>
    <t>Henderson Group Plc</t>
  </si>
  <si>
    <t>Emu Nickel</t>
  </si>
  <si>
    <t>JB Global ASX200</t>
  </si>
  <si>
    <t>Key Capital 3</t>
  </si>
  <si>
    <t>Key Capital 5</t>
  </si>
  <si>
    <t>Increase in NMV</t>
  </si>
  <si>
    <t>Value of investments</t>
  </si>
  <si>
    <t>Calculated Book value - see calc</t>
  </si>
  <si>
    <t>Santos</t>
  </si>
  <si>
    <t>Units</t>
  </si>
  <si>
    <t>Managed Funds</t>
  </si>
  <si>
    <t>Bank Account - Sandhurst securities</t>
  </si>
  <si>
    <t xml:space="preserve">Fixed Interest Securities </t>
  </si>
  <si>
    <t>Code</t>
  </si>
  <si>
    <t>IDL</t>
  </si>
  <si>
    <t>13/4/2011</t>
  </si>
  <si>
    <t>Purchases &amp; Sales</t>
  </si>
  <si>
    <t>30/6/11</t>
  </si>
  <si>
    <t>EMU</t>
  </si>
  <si>
    <t>14/4/11</t>
  </si>
  <si>
    <t>13/4/11</t>
  </si>
  <si>
    <t>Sell Shares</t>
  </si>
  <si>
    <t>Sell price</t>
  </si>
  <si>
    <t>15/10/10</t>
  </si>
  <si>
    <t>B A</t>
  </si>
  <si>
    <t>Actuarial fees</t>
  </si>
  <si>
    <t>B L   D F4</t>
  </si>
  <si>
    <t>Contributions for the year/ Pensions paid</t>
  </si>
  <si>
    <t>Add Back: Contributions \ Pensions for the year</t>
  </si>
  <si>
    <t>H14a B</t>
  </si>
  <si>
    <t>Sample Super Funds</t>
  </si>
  <si>
    <t>69945216999</t>
  </si>
  <si>
    <t>John Summers</t>
  </si>
  <si>
    <t>Sarah Summers</t>
  </si>
  <si>
    <t>480 Collins Street</t>
  </si>
  <si>
    <t>Melbourne VIC 3000</t>
  </si>
  <si>
    <t>Cash at Bank - CommSec Acc 123456</t>
  </si>
  <si>
    <t>Cash at Bank - CommSec Acc 123456789</t>
  </si>
  <si>
    <t>Financial Statements for the year ended 30 June 2014</t>
  </si>
  <si>
    <t>Balance Sheet as at 30 June 2014</t>
  </si>
  <si>
    <t>Less:</t>
  </si>
  <si>
    <t>Income Statement for the year ended 30 June 2014</t>
  </si>
  <si>
    <t>http://www.smsfwarehouse.com.au/</t>
  </si>
  <si>
    <t xml:space="preserve">Notes to the Financial Statement for the year ended 30 June 2014 (Continued) </t>
  </si>
  <si>
    <t>Trustees' Declaration for the year ended 30 June 2014</t>
  </si>
  <si>
    <t>Dated: 6 November 2014</t>
  </si>
  <si>
    <t xml:space="preserve">i. The Financial Statements and the notes to the Financial Statements fairly present the financial position and resuts for the period ending 30 June 2013 in accordance with the accounting policies set out in the notes to the financial statements; </t>
  </si>
  <si>
    <t xml:space="preserve">iii. The operation of the SMSF has been carried out in accordance with the Trust Deed and in compliance with the Superannaution Industry (Supervision) Act 1993 for the year ended 30 June 2013. </t>
  </si>
  <si>
    <t>Notes to the Financial Statement for the year ended 30 June 2014</t>
  </si>
  <si>
    <t>There are no outstanding contingent assets, liabilities or commitments as at 30 June 2014 (30 June 2013: Nil).</t>
  </si>
  <si>
    <t>30 June 2014</t>
  </si>
  <si>
    <t xml:space="preserve">The Trustees approve the financial statements for the year ended 30 June 2014 and approve these figures are correct for lodgement in the income tax return for the Fund. </t>
  </si>
  <si>
    <t>Balance 30-06-2013</t>
  </si>
  <si>
    <t>Balance 30-06-2014</t>
  </si>
  <si>
    <t>In connection with your audit of the Financial Report and records of the above Superannuation Fund and the Fund’s compliance with the Superannuation Industry (Supervision) Act 1993 (SIS Act) and SIS Regulations, for the year ended 2014 for the purpose of your expressing an opinion as to whether the financial report is in all material respects, presented fairly in accordance with the accounting policies adopted by the Fund, and the Fund complied, in all material respects, with the relevant requirements of the SIS Act and Regulations.</t>
  </si>
  <si>
    <t>The Trustees have determined that the Fund is not a reporting entity for the year ended 2014 and that the requirement to apply Australian Accounting Standards and other mandatory reporting requirements do not apply to the Fund. Accordingly, the financial report prepared is a special purpose financial report which is for distribution to members of the Fund and to satisfy the requirements of the SIS Act and Regulations. We acknowledge our responsibility for ensuring that the financial report is in accordance with the accounting policies as selected by ourselves and requirements of the SIS Act and Regulations, and confirm that the financial report is free of material misstatements, including omissions.</t>
  </si>
  <si>
    <t>No events or transactions have occurred since June 30 2014 or are pending which would have a material effect upon the Fund's state of affairs at that date, or which are of such significance in relation to the Fund's affairs as to require mention in the notes to the Financial Statements in order to ensure they are not misleading as to the state of affairs of the Fund or of its operations or movements in member’s funds.</t>
  </si>
  <si>
    <t>Movement</t>
  </si>
  <si>
    <t>Total Other Receipts</t>
  </si>
  <si>
    <t>Tax on Taxable income at 15%</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</si>
</sst>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dd\-mm\-yy;@"/>
    <numFmt numFmtId="177" formatCode="_(* #,##0_);_(* \(#,##0\);_(* &quot;-&quot;??_);_(@_)"/>
    <numFmt numFmtId="178" formatCode="&quot;$&quot;#,##0"/>
    <numFmt numFmtId="179" formatCode="m/d/yyyy;@"/>
    <numFmt numFmtId="180" formatCode="mmm\-yyyy"/>
    <numFmt numFmtId="181" formatCode="&quot;$&quot;#,##0.00"/>
    <numFmt numFmtId="182" formatCode="d\-mmm\-yy;@"/>
    <numFmt numFmtId="183" formatCode="mmm\-yy;@"/>
    <numFmt numFmtId="184" formatCode="#,##0.###############"/>
    <numFmt numFmtId="185" formatCode="[$-C09]dd\-mmm\-yy;@"/>
    <numFmt numFmtId="186" formatCode="&quot;$&quot;#,##0.0;[Red]\-&quot;$&quot;#,##0.0"/>
    <numFmt numFmtId="187" formatCode="&quot;$&quot;#,##0.000;[Red]\-&quot;$&quot;#,##0.000"/>
    <numFmt numFmtId="188" formatCode="#,##0.00_ ;[Red]\-#,##0.00\ "/>
    <numFmt numFmtId="189" formatCode="[$-C09]dddd\,\ d\ mmmm\ yyyy"/>
    <numFmt numFmtId="190" formatCode="_(* #,##0.0_);_(* \(#,##0.0\);_(* &quot;-&quot;??_);_(@_)"/>
    <numFmt numFmtId="191" formatCode="dd\-mmm\-yy"/>
    <numFmt numFmtId="192" formatCode="mmmm\ d\,\ yyyy"/>
    <numFmt numFmtId="193" formatCode="&quot;$&quot;#,##0.000"/>
    <numFmt numFmtId="194" formatCode="0.0%"/>
  </numFmts>
  <fonts count="48">
    <font>
      <sz val="10"/>
      <name val="Arial"/>
      <family val="0"/>
    </font>
    <font>
      <sz val="8"/>
      <name val="Arial"/>
      <family val="2"/>
    </font>
    <font>
      <sz val="10"/>
      <name val="Sabon"/>
      <family val="0"/>
    </font>
    <font>
      <b/>
      <sz val="10"/>
      <name val="Arial"/>
      <family val="2"/>
    </font>
    <font>
      <b/>
      <u val="single"/>
      <sz val="10"/>
      <name val="Arial"/>
      <family val="2"/>
    </font>
    <font>
      <u val="single"/>
      <sz val="10"/>
      <color indexed="12"/>
      <name val="Arial"/>
      <family val="2"/>
    </font>
    <font>
      <u val="single"/>
      <sz val="10"/>
      <color indexed="36"/>
      <name val="Arial"/>
      <family val="2"/>
    </font>
    <font>
      <b/>
      <i/>
      <u val="single"/>
      <sz val="10"/>
      <name val="Arial"/>
      <family val="2"/>
    </font>
    <font>
      <b/>
      <i/>
      <sz val="10"/>
      <name val="Arial"/>
      <family val="2"/>
    </font>
    <font>
      <b/>
      <sz val="12"/>
      <name val="Arial"/>
      <family val="2"/>
    </font>
    <font>
      <sz val="10"/>
      <name val="Calibri"/>
      <family val="2"/>
    </font>
    <font>
      <b/>
      <sz val="10"/>
      <name val="Calibri"/>
      <family val="2"/>
    </font>
    <font>
      <b/>
      <u val="single"/>
      <sz val="10"/>
      <name val="Calibri"/>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mediu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vertical="center"/>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5">
    <xf numFmtId="0" fontId="0" fillId="0" borderId="0" xfId="0" applyAlignment="1">
      <alignment/>
    </xf>
    <xf numFmtId="0" fontId="0" fillId="33" borderId="0" xfId="0" applyFill="1" applyAlignment="1">
      <alignment/>
    </xf>
    <xf numFmtId="171" fontId="0" fillId="0" borderId="0" xfId="42" applyFont="1" applyAlignment="1">
      <alignment/>
    </xf>
    <xf numFmtId="171" fontId="0" fillId="0" borderId="0" xfId="42" applyFont="1" applyBorder="1" applyAlignment="1">
      <alignment/>
    </xf>
    <xf numFmtId="171" fontId="0" fillId="0" borderId="10" xfId="42" applyFont="1" applyBorder="1" applyAlignment="1">
      <alignment/>
    </xf>
    <xf numFmtId="171" fontId="0" fillId="0" borderId="11" xfId="42" applyFont="1" applyBorder="1" applyAlignment="1">
      <alignment/>
    </xf>
    <xf numFmtId="0" fontId="2" fillId="0" borderId="0" xfId="0" applyFont="1" applyAlignment="1">
      <alignment/>
    </xf>
    <xf numFmtId="0" fontId="3" fillId="0" borderId="0" xfId="0" applyFont="1" applyAlignment="1">
      <alignment/>
    </xf>
    <xf numFmtId="171" fontId="3" fillId="0" borderId="0" xfId="42" applyFont="1" applyAlignment="1">
      <alignment/>
    </xf>
    <xf numFmtId="0" fontId="3" fillId="0" borderId="0" xfId="42" applyNumberFormat="1" applyFont="1" applyAlignment="1">
      <alignment horizontal="center"/>
    </xf>
    <xf numFmtId="171" fontId="3" fillId="0" borderId="0" xfId="42" applyFont="1" applyAlignment="1">
      <alignment horizontal="center"/>
    </xf>
    <xf numFmtId="0" fontId="0" fillId="0" borderId="0" xfId="0" applyBorder="1" applyAlignment="1">
      <alignment/>
    </xf>
    <xf numFmtId="171" fontId="0" fillId="0" borderId="0" xfId="42" applyFont="1" applyAlignment="1">
      <alignment/>
    </xf>
    <xf numFmtId="4" fontId="0" fillId="0" borderId="0" xfId="0" applyNumberFormat="1" applyAlignment="1">
      <alignment/>
    </xf>
    <xf numFmtId="4" fontId="0" fillId="0" borderId="11" xfId="0" applyNumberFormat="1" applyBorder="1" applyAlignment="1">
      <alignment/>
    </xf>
    <xf numFmtId="0" fontId="4" fillId="0" borderId="0" xfId="0" applyFont="1" applyAlignment="1">
      <alignment/>
    </xf>
    <xf numFmtId="171" fontId="0" fillId="0" borderId="0" xfId="0" applyNumberFormat="1" applyAlignment="1">
      <alignment/>
    </xf>
    <xf numFmtId="171" fontId="0" fillId="0" borderId="11" xfId="0" applyNumberFormat="1" applyBorder="1" applyAlignment="1">
      <alignment/>
    </xf>
    <xf numFmtId="0" fontId="7" fillId="0" borderId="0" xfId="0" applyFont="1" applyAlignment="1">
      <alignment/>
    </xf>
    <xf numFmtId="0" fontId="0" fillId="0" borderId="10" xfId="0" applyBorder="1" applyAlignment="1">
      <alignment/>
    </xf>
    <xf numFmtId="0" fontId="0" fillId="33" borderId="0" xfId="0" applyFont="1" applyFill="1" applyAlignment="1">
      <alignment/>
    </xf>
    <xf numFmtId="49" fontId="0" fillId="33" borderId="0" xfId="0" applyNumberFormat="1" applyFont="1" applyFill="1" applyAlignment="1">
      <alignment/>
    </xf>
    <xf numFmtId="0" fontId="0" fillId="0" borderId="0" xfId="0" applyFont="1" applyAlignment="1">
      <alignment/>
    </xf>
    <xf numFmtId="171" fontId="3" fillId="0" borderId="0" xfId="42" applyFont="1" applyBorder="1" applyAlignment="1">
      <alignment/>
    </xf>
    <xf numFmtId="171" fontId="3" fillId="0" borderId="11" xfId="42" applyFont="1" applyBorder="1" applyAlignment="1">
      <alignment/>
    </xf>
    <xf numFmtId="171" fontId="0" fillId="0" borderId="0" xfId="42" applyFont="1" applyFill="1" applyAlignment="1">
      <alignment/>
    </xf>
    <xf numFmtId="0" fontId="0" fillId="0" borderId="0" xfId="0" applyFont="1" applyFill="1" applyAlignment="1">
      <alignment/>
    </xf>
    <xf numFmtId="0" fontId="0" fillId="0" borderId="0" xfId="0" applyFill="1" applyAlignment="1">
      <alignment/>
    </xf>
    <xf numFmtId="171" fontId="0" fillId="0" borderId="0" xfId="42" applyFont="1" applyFill="1" applyBorder="1" applyAlignment="1">
      <alignment/>
    </xf>
    <xf numFmtId="43" fontId="0" fillId="0" borderId="0" xfId="0" applyNumberFormat="1" applyAlignment="1">
      <alignment/>
    </xf>
    <xf numFmtId="40" fontId="0" fillId="0" borderId="0" xfId="0" applyNumberFormat="1" applyAlignment="1">
      <alignment/>
    </xf>
    <xf numFmtId="4" fontId="3" fillId="0" borderId="0" xfId="0" applyNumberFormat="1" applyFont="1" applyAlignment="1">
      <alignment horizontal="center" wrapText="1"/>
    </xf>
    <xf numFmtId="0" fontId="12" fillId="0" borderId="0" xfId="0" applyFont="1" applyAlignment="1">
      <alignment/>
    </xf>
    <xf numFmtId="8" fontId="10" fillId="0" borderId="0" xfId="0" applyNumberFormat="1" applyFont="1" applyAlignment="1">
      <alignment/>
    </xf>
    <xf numFmtId="0" fontId="10" fillId="0" borderId="0" xfId="0" applyFont="1" applyAlignment="1">
      <alignment/>
    </xf>
    <xf numFmtId="0" fontId="10" fillId="0" borderId="0" xfId="0" applyFont="1" applyAlignment="1">
      <alignment horizontal="left" wrapText="1" indent="1"/>
    </xf>
    <xf numFmtId="8" fontId="11" fillId="0" borderId="12" xfId="0" applyNumberFormat="1" applyFont="1" applyBorder="1" applyAlignment="1">
      <alignment/>
    </xf>
    <xf numFmtId="0" fontId="11" fillId="0" borderId="0" xfId="0" applyFont="1" applyAlignment="1">
      <alignment/>
    </xf>
    <xf numFmtId="171" fontId="0" fillId="0" borderId="0" xfId="42" applyFont="1" applyFill="1" applyAlignment="1">
      <alignment/>
    </xf>
    <xf numFmtId="171" fontId="0" fillId="0" borderId="0" xfId="42" applyFont="1" applyFill="1" applyAlignment="1">
      <alignment/>
    </xf>
    <xf numFmtId="40" fontId="3" fillId="0" borderId="11" xfId="42" applyNumberFormat="1" applyFont="1" applyBorder="1" applyAlignment="1">
      <alignment horizontal="right"/>
    </xf>
    <xf numFmtId="171" fontId="0" fillId="0" borderId="0" xfId="42" applyFont="1" applyFill="1" applyAlignment="1">
      <alignment/>
    </xf>
    <xf numFmtId="0" fontId="8" fillId="0" borderId="0" xfId="0" applyFont="1" applyAlignment="1">
      <alignment/>
    </xf>
    <xf numFmtId="0" fontId="9" fillId="0" borderId="0" xfId="0" applyFont="1" applyAlignment="1">
      <alignment/>
    </xf>
    <xf numFmtId="171" fontId="0" fillId="0" borderId="0" xfId="42" applyFont="1" applyFill="1" applyBorder="1" applyAlignment="1">
      <alignment/>
    </xf>
    <xf numFmtId="0" fontId="0" fillId="0" borderId="0" xfId="0" applyFill="1" applyBorder="1" applyAlignment="1">
      <alignment/>
    </xf>
    <xf numFmtId="8" fontId="0" fillId="0" borderId="0" xfId="42" applyNumberFormat="1" applyFont="1" applyFill="1" applyBorder="1" applyAlignment="1">
      <alignment horizontal="right"/>
    </xf>
    <xf numFmtId="171" fontId="3" fillId="0" borderId="0" xfId="42" applyFont="1" applyFill="1" applyBorder="1" applyAlignment="1">
      <alignment horizontal="center"/>
    </xf>
    <xf numFmtId="171" fontId="0" fillId="0" borderId="0" xfId="0" applyNumberFormat="1" applyFill="1" applyBorder="1" applyAlignment="1">
      <alignment/>
    </xf>
    <xf numFmtId="40" fontId="0" fillId="0" borderId="0" xfId="0" applyNumberFormat="1" applyFill="1" applyBorder="1" applyAlignment="1">
      <alignment horizontal="right"/>
    </xf>
    <xf numFmtId="40" fontId="0" fillId="0" borderId="0" xfId="0" applyNumberFormat="1" applyAlignment="1">
      <alignment horizontal="right"/>
    </xf>
    <xf numFmtId="40" fontId="0" fillId="0" borderId="0" xfId="42" applyNumberFormat="1" applyFont="1" applyAlignment="1">
      <alignment horizontal="right"/>
    </xf>
    <xf numFmtId="40" fontId="3" fillId="0" borderId="0" xfId="42" applyNumberFormat="1" applyFont="1" applyFill="1" applyAlignment="1">
      <alignment horizontal="right"/>
    </xf>
    <xf numFmtId="40" fontId="0" fillId="0" borderId="10" xfId="42" applyNumberFormat="1" applyFont="1" applyBorder="1" applyAlignment="1">
      <alignment horizontal="right"/>
    </xf>
    <xf numFmtId="171" fontId="0" fillId="0" borderId="10" xfId="0" applyNumberFormat="1" applyBorder="1" applyAlignment="1">
      <alignment/>
    </xf>
    <xf numFmtId="171" fontId="0" fillId="33" borderId="0" xfId="0" applyNumberFormat="1" applyFill="1" applyAlignment="1">
      <alignment/>
    </xf>
    <xf numFmtId="171" fontId="0" fillId="33" borderId="10" xfId="0" applyNumberFormat="1" applyFill="1" applyBorder="1" applyAlignment="1">
      <alignment/>
    </xf>
    <xf numFmtId="171" fontId="0" fillId="33" borderId="11" xfId="0" applyNumberFormat="1" applyFill="1" applyBorder="1" applyAlignment="1">
      <alignment/>
    </xf>
    <xf numFmtId="0" fontId="3" fillId="0" borderId="0" xfId="0" applyFont="1" applyFill="1" applyAlignment="1">
      <alignment/>
    </xf>
    <xf numFmtId="171" fontId="0" fillId="0" borderId="0" xfId="0" applyNumberFormat="1" applyBorder="1" applyAlignment="1">
      <alignment/>
    </xf>
    <xf numFmtId="0" fontId="13" fillId="0" borderId="0" xfId="0" applyFont="1" applyAlignment="1">
      <alignment/>
    </xf>
    <xf numFmtId="171" fontId="10" fillId="0" borderId="0" xfId="42" applyFont="1" applyAlignment="1">
      <alignment/>
    </xf>
    <xf numFmtId="171" fontId="10" fillId="0" borderId="0" xfId="42" applyFont="1" applyAlignment="1">
      <alignment horizontal="center" wrapText="1"/>
    </xf>
    <xf numFmtId="171" fontId="10" fillId="0" borderId="0" xfId="42" applyFont="1" applyAlignment="1">
      <alignment horizontal="center"/>
    </xf>
    <xf numFmtId="0" fontId="0" fillId="0" borderId="13"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6" xfId="0" applyNumberFormat="1" applyBorder="1" applyAlignment="1">
      <alignment/>
    </xf>
    <xf numFmtId="0" fontId="0" fillId="0" borderId="17" xfId="0" applyNumberFormat="1" applyBorder="1" applyAlignment="1">
      <alignment/>
    </xf>
    <xf numFmtId="0" fontId="0" fillId="0" borderId="18" xfId="0" applyNumberFormat="1" applyBorder="1" applyAlignment="1">
      <alignment/>
    </xf>
    <xf numFmtId="171" fontId="10" fillId="0" borderId="11" xfId="42" applyFont="1" applyBorder="1" applyAlignment="1">
      <alignment/>
    </xf>
    <xf numFmtId="171" fontId="11" fillId="0" borderId="0" xfId="42" applyFont="1" applyAlignment="1">
      <alignment/>
    </xf>
    <xf numFmtId="171" fontId="0" fillId="0" borderId="0" xfId="0" applyNumberFormat="1" applyFill="1" applyAlignment="1">
      <alignment/>
    </xf>
    <xf numFmtId="171" fontId="10" fillId="33" borderId="0" xfId="42" applyFont="1" applyFill="1" applyAlignment="1">
      <alignment/>
    </xf>
    <xf numFmtId="171" fontId="10" fillId="0" borderId="0" xfId="42" applyFont="1" applyAlignment="1">
      <alignment vertical="center"/>
    </xf>
    <xf numFmtId="171" fontId="10" fillId="0" borderId="11" xfId="42" applyFont="1" applyBorder="1" applyAlignment="1">
      <alignment vertical="center"/>
    </xf>
    <xf numFmtId="171" fontId="12" fillId="0" borderId="0" xfId="42" applyFont="1" applyAlignment="1">
      <alignment vertical="center"/>
    </xf>
    <xf numFmtId="0" fontId="12" fillId="0" borderId="0" xfId="42" applyNumberFormat="1" applyFont="1" applyAlignment="1">
      <alignment horizontal="center" vertical="center"/>
    </xf>
    <xf numFmtId="171" fontId="10" fillId="0" borderId="0" xfId="42" applyFont="1" applyBorder="1" applyAlignment="1">
      <alignment vertical="center"/>
    </xf>
    <xf numFmtId="14" fontId="10" fillId="0" borderId="0" xfId="42" applyNumberFormat="1" applyFont="1" applyAlignment="1">
      <alignment vertical="center"/>
    </xf>
    <xf numFmtId="171" fontId="10" fillId="0" borderId="19" xfId="42" applyFont="1" applyBorder="1" applyAlignment="1">
      <alignment vertical="center"/>
    </xf>
    <xf numFmtId="171" fontId="10" fillId="0" borderId="20" xfId="42" applyFont="1" applyBorder="1" applyAlignment="1">
      <alignment vertical="center"/>
    </xf>
    <xf numFmtId="171" fontId="10" fillId="0" borderId="21" xfId="42" applyFont="1" applyBorder="1" applyAlignment="1">
      <alignment vertical="center"/>
    </xf>
    <xf numFmtId="0" fontId="0" fillId="0" borderId="0" xfId="0" applyAlignment="1">
      <alignment horizontal="left" wrapText="1"/>
    </xf>
    <xf numFmtId="0" fontId="0" fillId="0" borderId="0" xfId="0" applyAlignment="1">
      <alignment wrapText="1"/>
    </xf>
    <xf numFmtId="49" fontId="3" fillId="0" borderId="0" xfId="0" applyNumberFormat="1" applyFont="1" applyAlignment="1">
      <alignment horizontal="left"/>
    </xf>
    <xf numFmtId="49" fontId="0" fillId="0" borderId="0" xfId="0" applyNumberFormat="1" applyAlignment="1">
      <alignment horizontal="left"/>
    </xf>
    <xf numFmtId="0" fontId="0" fillId="0" borderId="0" xfId="0" applyAlignment="1">
      <alignment vertical="top" wrapText="1"/>
    </xf>
    <xf numFmtId="0" fontId="3" fillId="0" borderId="0" xfId="0" applyFont="1" applyAlignment="1">
      <alignment vertical="top" wrapText="1"/>
    </xf>
    <xf numFmtId="0" fontId="0" fillId="0" borderId="0" xfId="0" applyAlignment="1">
      <alignment horizontal="left" vertical="top" wrapText="1"/>
    </xf>
    <xf numFmtId="0" fontId="3" fillId="0" borderId="0" xfId="0" applyFont="1" applyAlignment="1">
      <alignment wrapText="1"/>
    </xf>
    <xf numFmtId="40" fontId="0" fillId="0" borderId="0" xfId="0" applyNumberFormat="1" applyBorder="1" applyAlignment="1">
      <alignment horizontal="right"/>
    </xf>
    <xf numFmtId="171" fontId="0" fillId="0" borderId="0" xfId="42" applyFont="1" applyAlignment="1">
      <alignment horizontal="righ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22</xdr:row>
      <xdr:rowOff>28575</xdr:rowOff>
    </xdr:from>
    <xdr:to>
      <xdr:col>8</xdr:col>
      <xdr:colOff>266700</xdr:colOff>
      <xdr:row>29</xdr:row>
      <xdr:rowOff>9525</xdr:rowOff>
    </xdr:to>
    <xdr:pic>
      <xdr:nvPicPr>
        <xdr:cNvPr id="1" name="Picture 2"/>
        <xdr:cNvPicPr preferRelativeResize="1">
          <a:picLocks noChangeAspect="1"/>
        </xdr:cNvPicPr>
      </xdr:nvPicPr>
      <xdr:blipFill>
        <a:blip r:embed="rId1"/>
        <a:stretch>
          <a:fillRect/>
        </a:stretch>
      </xdr:blipFill>
      <xdr:spPr>
        <a:xfrm>
          <a:off x="3848100" y="3590925"/>
          <a:ext cx="1714500" cy="115252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B55" sheet="Bank"/>
  </cacheSource>
  <cacheFields count="2">
    <cacheField name="Description">
      <sharedItems containsMixedTypes="0" count="10">
        <s v="Opening balance"/>
        <s v="Key Capital Deposit"/>
        <s v="Interest"/>
        <s v="John Pension"/>
        <s v="Accounting Fees"/>
        <s v="Dividend"/>
        <s v="Glenda Pension"/>
        <s v="Bank Fees"/>
        <s v="Actuary fee"/>
        <s v="Tax Refund"/>
      </sharedItems>
    </cacheField>
    <cacheField name="Transaction value">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F16:G28" firstHeaderRow="2" firstDataRow="2" firstDataCol="1"/>
  <pivotFields count="2">
    <pivotField axis="axisRow" compact="0" outline="0" subtotalTop="0" showAll="0">
      <items count="11">
        <item x="4"/>
        <item x="8"/>
        <item x="7"/>
        <item x="5"/>
        <item x="6"/>
        <item x="2"/>
        <item x="3"/>
        <item x="1"/>
        <item x="0"/>
        <item x="9"/>
        <item t="default"/>
      </items>
    </pivotField>
    <pivotField dataField="1" compact="0" outline="0" subtotalTop="0" showAll="0"/>
  </pivotFields>
  <rowFields count="1">
    <field x="0"/>
  </rowFields>
  <rowItems count="11">
    <i>
      <x/>
    </i>
    <i>
      <x v="1"/>
    </i>
    <i>
      <x v="2"/>
    </i>
    <i>
      <x v="3"/>
    </i>
    <i>
      <x v="4"/>
    </i>
    <i>
      <x v="5"/>
    </i>
    <i>
      <x v="6"/>
    </i>
    <i>
      <x v="7"/>
    </i>
    <i>
      <x v="8"/>
    </i>
    <i>
      <x v="9"/>
    </i>
    <i t="grand">
      <x/>
    </i>
  </rowItems>
  <colItems count="1">
    <i/>
  </colItems>
  <dataFields count="1">
    <dataField name="Sum of Transaction value" fld="1"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pivotTable" Target="../pivotTables/pivotTable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257"/>
  <sheetViews>
    <sheetView tabSelected="1" zoomScale="115" zoomScaleNormal="115" workbookViewId="0" topLeftCell="A202">
      <selection activeCell="K215" sqref="K215"/>
    </sheetView>
  </sheetViews>
  <sheetFormatPr defaultColWidth="9.140625" defaultRowHeight="12.75"/>
  <cols>
    <col min="1" max="1" width="3.57421875" style="0" customWidth="1"/>
    <col min="4" max="4" width="17.421875" style="0" customWidth="1"/>
    <col min="8" max="9" width="12.7109375" style="2" customWidth="1"/>
    <col min="10" max="10" width="14.00390625" style="0" customWidth="1"/>
    <col min="11" max="11" width="11.28125" style="0" bestFit="1" customWidth="1"/>
    <col min="13" max="13" width="14.140625" style="0" customWidth="1"/>
  </cols>
  <sheetData>
    <row r="1" ht="12.75">
      <c r="A1" t="s">
        <v>28</v>
      </c>
    </row>
    <row r="2" spans="1:5" ht="12.75">
      <c r="A2" s="20" t="s">
        <v>326</v>
      </c>
      <c r="B2" s="1"/>
      <c r="C2" s="1"/>
      <c r="D2" s="1"/>
      <c r="E2" t="s">
        <v>40</v>
      </c>
    </row>
    <row r="3" spans="1:5" ht="12.75">
      <c r="A3" s="21" t="s">
        <v>327</v>
      </c>
      <c r="B3" s="1"/>
      <c r="C3" s="1"/>
      <c r="D3" s="1"/>
      <c r="E3" t="s">
        <v>57</v>
      </c>
    </row>
    <row r="4" spans="1:5" ht="12.75">
      <c r="A4" s="20" t="s">
        <v>328</v>
      </c>
      <c r="B4" s="1"/>
      <c r="C4" s="1"/>
      <c r="D4" s="1"/>
      <c r="E4" t="s">
        <v>41</v>
      </c>
    </row>
    <row r="5" spans="1:5" ht="12.75">
      <c r="A5" s="20" t="s">
        <v>329</v>
      </c>
      <c r="B5" s="1"/>
      <c r="C5" s="1"/>
      <c r="D5" s="1"/>
      <c r="E5" t="s">
        <v>42</v>
      </c>
    </row>
    <row r="6" spans="1:5" ht="12.75">
      <c r="A6" s="20"/>
      <c r="B6" s="1"/>
      <c r="C6" s="1"/>
      <c r="D6" s="1"/>
      <c r="E6" t="s">
        <v>148</v>
      </c>
    </row>
    <row r="7" spans="1:9" s="27" customFormat="1" ht="12.75">
      <c r="A7" s="26"/>
      <c r="H7" s="41"/>
      <c r="I7" s="41"/>
    </row>
    <row r="8" spans="1:9" s="27" customFormat="1" ht="12.75">
      <c r="A8" s="7" t="str">
        <f>+A2</f>
        <v>Sample Super Funds</v>
      </c>
      <c r="B8" s="7"/>
      <c r="H8" s="41"/>
      <c r="I8" s="41"/>
    </row>
    <row r="9" spans="1:9" s="27" customFormat="1" ht="12.75">
      <c r="A9" s="7"/>
      <c r="B9" s="7"/>
      <c r="H9" s="41"/>
      <c r="I9" s="41"/>
    </row>
    <row r="10" spans="1:9" s="27" customFormat="1" ht="12.75">
      <c r="A10" s="7"/>
      <c r="B10" s="7" t="s">
        <v>57</v>
      </c>
      <c r="C10" s="7" t="str">
        <f>+A3</f>
        <v>69945216999</v>
      </c>
      <c r="H10" s="41"/>
      <c r="I10" s="41"/>
    </row>
    <row r="11" spans="1:9" s="27" customFormat="1" ht="12.75">
      <c r="A11" s="7"/>
      <c r="B11" s="7"/>
      <c r="C11" s="7"/>
      <c r="H11" s="41"/>
      <c r="I11" s="41"/>
    </row>
    <row r="12" spans="1:9" s="27" customFormat="1" ht="12.75">
      <c r="A12" s="7"/>
      <c r="B12" s="7"/>
      <c r="C12" s="7"/>
      <c r="H12" s="41"/>
      <c r="I12" s="41"/>
    </row>
    <row r="13" spans="1:9" s="27" customFormat="1" ht="12.75">
      <c r="A13" s="7"/>
      <c r="B13" s="7"/>
      <c r="C13" s="7"/>
      <c r="H13" s="41"/>
      <c r="I13" s="41"/>
    </row>
    <row r="14" spans="1:9" s="27" customFormat="1" ht="12.75">
      <c r="A14" s="7"/>
      <c r="B14" s="7"/>
      <c r="C14" s="7"/>
      <c r="H14" s="41"/>
      <c r="I14" s="41"/>
    </row>
    <row r="15" spans="1:9" s="27" customFormat="1" ht="12.75">
      <c r="A15" s="7"/>
      <c r="B15" s="7"/>
      <c r="C15" s="7"/>
      <c r="H15" s="41"/>
      <c r="I15" s="41"/>
    </row>
    <row r="16" spans="1:9" s="27" customFormat="1" ht="12.75">
      <c r="A16" s="7"/>
      <c r="B16" s="7"/>
      <c r="C16" s="7"/>
      <c r="H16" s="41"/>
      <c r="I16" s="41"/>
    </row>
    <row r="17" spans="1:9" s="27" customFormat="1" ht="12.75">
      <c r="A17" s="7"/>
      <c r="B17" s="7"/>
      <c r="C17" s="7"/>
      <c r="H17" s="41"/>
      <c r="I17" s="41"/>
    </row>
    <row r="18" spans="1:9" s="27" customFormat="1" ht="12.75">
      <c r="A18" s="7"/>
      <c r="B18" s="7"/>
      <c r="H18" s="41"/>
      <c r="I18" s="41"/>
    </row>
    <row r="19" spans="1:9" s="27" customFormat="1" ht="12.75">
      <c r="A19" s="7" t="s">
        <v>334</v>
      </c>
      <c r="B19" s="7"/>
      <c r="H19" s="41"/>
      <c r="I19" s="41"/>
    </row>
    <row r="20" spans="1:9" s="27" customFormat="1" ht="12.75">
      <c r="A20" s="26"/>
      <c r="H20" s="41"/>
      <c r="I20" s="41"/>
    </row>
    <row r="21" spans="1:9" s="27" customFormat="1" ht="12.75">
      <c r="A21" s="26"/>
      <c r="H21" s="41"/>
      <c r="I21" s="41"/>
    </row>
    <row r="22" spans="1:9" s="27" customFormat="1" ht="12.75">
      <c r="A22" s="26"/>
      <c r="H22" s="41"/>
      <c r="I22" s="41"/>
    </row>
    <row r="23" spans="1:9" s="27" customFormat="1" ht="12.75">
      <c r="A23" s="42" t="s">
        <v>153</v>
      </c>
      <c r="H23" s="41"/>
      <c r="I23" s="41"/>
    </row>
    <row r="24" spans="1:9" s="27" customFormat="1" ht="12.75">
      <c r="A24" s="7"/>
      <c r="H24" s="41"/>
      <c r="I24" s="41"/>
    </row>
    <row r="25" spans="1:9" s="27" customFormat="1" ht="15.75">
      <c r="A25" s="43" t="s">
        <v>154</v>
      </c>
      <c r="H25" s="41"/>
      <c r="I25" s="41"/>
    </row>
    <row r="26" spans="1:9" s="27" customFormat="1" ht="12.75">
      <c r="A26" s="22" t="s">
        <v>155</v>
      </c>
      <c r="H26" s="41"/>
      <c r="I26" s="41"/>
    </row>
    <row r="27" spans="1:9" s="27" customFormat="1" ht="12.75">
      <c r="A27" s="22" t="s">
        <v>156</v>
      </c>
      <c r="H27" s="41"/>
      <c r="I27" s="41"/>
    </row>
    <row r="28" spans="1:9" s="27" customFormat="1" ht="12.75">
      <c r="A28" s="22" t="s">
        <v>157</v>
      </c>
      <c r="H28" s="41"/>
      <c r="I28" s="41"/>
    </row>
    <row r="29" spans="1:9" s="27" customFormat="1" ht="12.75">
      <c r="A29" s="22" t="s">
        <v>338</v>
      </c>
      <c r="H29" s="41"/>
      <c r="I29" s="41"/>
    </row>
    <row r="30" spans="3:6" ht="12.75">
      <c r="C30" s="7"/>
      <c r="D30" s="7"/>
      <c r="E30" s="7"/>
      <c r="F30" s="7"/>
    </row>
    <row r="31" spans="4:6" ht="12.75">
      <c r="D31" s="7"/>
      <c r="E31" s="7"/>
      <c r="F31" s="7"/>
    </row>
    <row r="32" spans="3:6" ht="12.75">
      <c r="C32" s="7"/>
      <c r="D32" s="7"/>
      <c r="E32" s="7"/>
      <c r="F32" s="7"/>
    </row>
    <row r="33" spans="3:6" ht="12.75">
      <c r="C33" s="7"/>
      <c r="D33" s="7"/>
      <c r="E33" s="7"/>
      <c r="F33" s="7"/>
    </row>
    <row r="34" spans="1:6" ht="12.75">
      <c r="A34" s="7"/>
      <c r="B34" s="7"/>
      <c r="C34" s="7"/>
      <c r="D34" s="7"/>
      <c r="E34" s="7"/>
      <c r="F34" s="7"/>
    </row>
    <row r="36" spans="1:9" s="7" customFormat="1" ht="12.75">
      <c r="A36" s="7" t="str">
        <f>+A2</f>
        <v>Sample Super Funds</v>
      </c>
      <c r="H36" s="8"/>
      <c r="I36" s="8"/>
    </row>
    <row r="37" spans="1:10" s="7" customFormat="1" ht="12.75">
      <c r="A37" s="7" t="s">
        <v>335</v>
      </c>
      <c r="G37" s="7" t="s">
        <v>99</v>
      </c>
      <c r="H37" s="9">
        <v>2014</v>
      </c>
      <c r="I37" s="9">
        <v>2013</v>
      </c>
      <c r="J37" s="7" t="s">
        <v>353</v>
      </c>
    </row>
    <row r="38" spans="8:14" s="7" customFormat="1" ht="12.75">
      <c r="H38" s="10" t="s">
        <v>29</v>
      </c>
      <c r="I38" s="10" t="s">
        <v>29</v>
      </c>
      <c r="M38" t="s">
        <v>165</v>
      </c>
      <c r="N38" t="s">
        <v>166</v>
      </c>
    </row>
    <row r="39" spans="13:14" ht="12.75">
      <c r="M39" s="7"/>
      <c r="N39" s="7"/>
    </row>
    <row r="40" ht="12.75">
      <c r="A40" s="7" t="s">
        <v>30</v>
      </c>
    </row>
    <row r="41" spans="2:9" ht="12.75">
      <c r="B41" t="s">
        <v>31</v>
      </c>
      <c r="H41" s="2">
        <v>0</v>
      </c>
      <c r="I41" s="2">
        <v>0</v>
      </c>
    </row>
    <row r="42" spans="2:14" ht="12.75">
      <c r="B42" t="s">
        <v>92</v>
      </c>
      <c r="H42" s="25">
        <f>+Bank!C79+Securities!E26</f>
        <v>43076</v>
      </c>
      <c r="I42" s="25">
        <f>158787-I43+1</f>
        <v>83788</v>
      </c>
      <c r="J42" s="16">
        <f>+I42-H42</f>
        <v>40712</v>
      </c>
      <c r="K42" s="29"/>
      <c r="M42" s="16">
        <f>ROUND(H42,0)</f>
        <v>43076</v>
      </c>
      <c r="N42" t="s">
        <v>167</v>
      </c>
    </row>
    <row r="43" spans="2:14" ht="12.75">
      <c r="B43" t="s">
        <v>238</v>
      </c>
      <c r="H43" s="25">
        <f>+I43</f>
        <v>75000</v>
      </c>
      <c r="I43" s="25">
        <f>25000+50000</f>
        <v>75000</v>
      </c>
      <c r="J43" s="16">
        <f aca="true" t="shared" si="0" ref="J43:J75">+I43-H43</f>
        <v>0</v>
      </c>
      <c r="K43" s="29"/>
      <c r="M43" s="16">
        <f>ROUND(H43,0)</f>
        <v>75000</v>
      </c>
      <c r="N43" t="s">
        <v>325</v>
      </c>
    </row>
    <row r="44" spans="2:11" ht="12.75">
      <c r="B44" t="s">
        <v>308</v>
      </c>
      <c r="H44" s="2">
        <v>0</v>
      </c>
      <c r="I44" s="2">
        <v>0</v>
      </c>
      <c r="J44" s="16">
        <f t="shared" si="0"/>
        <v>0</v>
      </c>
      <c r="K44" s="16"/>
    </row>
    <row r="45" spans="2:14" ht="12.75">
      <c r="B45" t="s">
        <v>307</v>
      </c>
      <c r="H45" s="2">
        <f>+Bank!C55</f>
        <v>85099.25000000004</v>
      </c>
      <c r="I45" s="2">
        <v>103094</v>
      </c>
      <c r="J45" s="16">
        <f t="shared" si="0"/>
        <v>17994.749999999956</v>
      </c>
      <c r="M45" s="16">
        <f>ROUND(H45,0)</f>
        <v>85099</v>
      </c>
      <c r="N45" t="s">
        <v>168</v>
      </c>
    </row>
    <row r="46" spans="2:10" ht="12.75">
      <c r="B46" t="s">
        <v>32</v>
      </c>
      <c r="H46" s="4">
        <v>0</v>
      </c>
      <c r="I46" s="4">
        <v>0</v>
      </c>
      <c r="J46" s="16">
        <f t="shared" si="0"/>
        <v>0</v>
      </c>
    </row>
    <row r="47" spans="8:13" ht="12.75">
      <c r="H47" s="3">
        <f>SUM(H41:H46)</f>
        <v>203175.25000000006</v>
      </c>
      <c r="I47" s="3">
        <f>SUM(I41:I46)</f>
        <v>261882</v>
      </c>
      <c r="J47" s="16">
        <f t="shared" si="0"/>
        <v>58706.74999999994</v>
      </c>
      <c r="M47" s="16"/>
    </row>
    <row r="48" spans="10:13" ht="12.75">
      <c r="J48" s="16">
        <f t="shared" si="0"/>
        <v>0</v>
      </c>
      <c r="M48" s="16"/>
    </row>
    <row r="49" spans="1:13" ht="12.75">
      <c r="A49" s="7" t="s">
        <v>33</v>
      </c>
      <c r="H49" s="3"/>
      <c r="I49" s="3"/>
      <c r="J49" s="16">
        <f t="shared" si="0"/>
        <v>0</v>
      </c>
      <c r="M49" s="16">
        <f aca="true" t="shared" si="1" ref="M49:M56">ROUND(H49,0)</f>
        <v>0</v>
      </c>
    </row>
    <row r="50" spans="1:14" ht="12.75">
      <c r="A50" s="7"/>
      <c r="B50" s="22" t="s">
        <v>332</v>
      </c>
      <c r="H50" s="3">
        <f>+Bank!C73</f>
        <v>94939.38999999998</v>
      </c>
      <c r="I50" s="3">
        <v>1046</v>
      </c>
      <c r="J50" s="16">
        <f t="shared" si="0"/>
        <v>-93893.38999999998</v>
      </c>
      <c r="M50" s="16">
        <f t="shared" si="1"/>
        <v>94939</v>
      </c>
      <c r="N50" t="s">
        <v>168</v>
      </c>
    </row>
    <row r="51" spans="1:14" ht="12.75">
      <c r="A51" s="7"/>
      <c r="B51" s="22" t="s">
        <v>333</v>
      </c>
      <c r="H51" s="3">
        <f>+Bank!C63</f>
        <v>137564.68</v>
      </c>
      <c r="I51" s="3">
        <v>85727</v>
      </c>
      <c r="J51" s="16">
        <f t="shared" si="0"/>
        <v>-51837.67999999999</v>
      </c>
      <c r="M51" s="16">
        <f t="shared" si="1"/>
        <v>137565</v>
      </c>
      <c r="N51" t="s">
        <v>168</v>
      </c>
    </row>
    <row r="52" spans="1:14" ht="12.75">
      <c r="A52" s="7"/>
      <c r="B52" s="22" t="s">
        <v>134</v>
      </c>
      <c r="H52" s="3"/>
      <c r="I52" s="3"/>
      <c r="J52" s="16">
        <f t="shared" si="0"/>
        <v>0</v>
      </c>
      <c r="M52" s="16">
        <f t="shared" si="1"/>
        <v>0</v>
      </c>
      <c r="N52" t="s">
        <v>169</v>
      </c>
    </row>
    <row r="53" spans="1:14" ht="12.75">
      <c r="A53" s="7"/>
      <c r="B53" s="26" t="s">
        <v>135</v>
      </c>
      <c r="C53" s="27"/>
      <c r="D53" s="27"/>
      <c r="E53" s="27"/>
      <c r="F53" s="27"/>
      <c r="G53" s="27"/>
      <c r="H53" s="28">
        <v>0</v>
      </c>
      <c r="I53" s="28">
        <v>208</v>
      </c>
      <c r="J53" s="16">
        <f t="shared" si="0"/>
        <v>208</v>
      </c>
      <c r="M53" s="16">
        <f t="shared" si="1"/>
        <v>0</v>
      </c>
      <c r="N53" t="s">
        <v>169</v>
      </c>
    </row>
    <row r="54" spans="1:13" ht="12.75">
      <c r="A54" s="7"/>
      <c r="B54" s="26" t="s">
        <v>239</v>
      </c>
      <c r="C54" s="27"/>
      <c r="D54" s="27"/>
      <c r="E54" s="27"/>
      <c r="F54" s="27"/>
      <c r="G54" s="27"/>
      <c r="H54" s="28">
        <v>0</v>
      </c>
      <c r="I54" s="28">
        <v>8911</v>
      </c>
      <c r="J54" s="16">
        <f t="shared" si="0"/>
        <v>8911</v>
      </c>
      <c r="M54" s="16">
        <f t="shared" si="1"/>
        <v>0</v>
      </c>
    </row>
    <row r="55" spans="1:15" ht="12.75">
      <c r="A55" s="7"/>
      <c r="B55" t="s">
        <v>68</v>
      </c>
      <c r="H55" s="3">
        <f>+H93</f>
        <v>1147.7528571428572</v>
      </c>
      <c r="I55" s="2">
        <v>0</v>
      </c>
      <c r="J55" s="16">
        <f t="shared" si="0"/>
        <v>-1147.7528571428572</v>
      </c>
      <c r="M55" s="16">
        <f t="shared" si="1"/>
        <v>1148</v>
      </c>
      <c r="N55" t="s">
        <v>169</v>
      </c>
      <c r="O55" s="16">
        <f>+M55-180</f>
        <v>968</v>
      </c>
    </row>
    <row r="56" spans="2:13" ht="12.75">
      <c r="B56" t="s">
        <v>93</v>
      </c>
      <c r="G56" t="s">
        <v>103</v>
      </c>
      <c r="H56" s="4">
        <v>0</v>
      </c>
      <c r="I56" s="4">
        <v>0</v>
      </c>
      <c r="J56" s="16">
        <f t="shared" si="0"/>
        <v>0</v>
      </c>
      <c r="M56" s="54">
        <f t="shared" si="1"/>
        <v>0</v>
      </c>
    </row>
    <row r="57" spans="8:10" ht="12.75">
      <c r="H57" s="3">
        <f>SUM(H50:H56)</f>
        <v>233651.82285714283</v>
      </c>
      <c r="I57" s="3">
        <f>SUM(I50:I56)</f>
        <v>95892</v>
      </c>
      <c r="J57" s="16">
        <f t="shared" si="0"/>
        <v>-137759.82285714283</v>
      </c>
    </row>
    <row r="58" spans="1:13" ht="12.75">
      <c r="A58" s="7"/>
      <c r="H58" s="3"/>
      <c r="I58" s="3"/>
      <c r="J58" s="16">
        <f t="shared" si="0"/>
        <v>0</v>
      </c>
      <c r="M58" s="16"/>
    </row>
    <row r="59" spans="1:14" ht="12.75">
      <c r="A59" s="7" t="s">
        <v>34</v>
      </c>
      <c r="H59" s="23">
        <f>+H57+H47</f>
        <v>436827.0728571429</v>
      </c>
      <c r="I59" s="23">
        <f>+I57+I47</f>
        <v>357774</v>
      </c>
      <c r="J59" s="16">
        <f t="shared" si="0"/>
        <v>-79053.07285714289</v>
      </c>
      <c r="K59" s="27"/>
      <c r="M59" s="16">
        <f>SUM(M42:M56)</f>
        <v>436827</v>
      </c>
      <c r="N59" t="s">
        <v>170</v>
      </c>
    </row>
    <row r="60" spans="1:13" ht="12.75">
      <c r="A60" s="7"/>
      <c r="H60" s="23"/>
      <c r="I60" s="23"/>
      <c r="J60" s="16">
        <f t="shared" si="0"/>
        <v>0</v>
      </c>
      <c r="K60" s="27"/>
      <c r="M60" s="16"/>
    </row>
    <row r="61" spans="1:13" ht="12.75">
      <c r="A61" s="7" t="s">
        <v>336</v>
      </c>
      <c r="H61" s="23"/>
      <c r="I61" s="23"/>
      <c r="J61" s="16">
        <f t="shared" si="0"/>
        <v>0</v>
      </c>
      <c r="K61" s="27"/>
      <c r="M61" s="16"/>
    </row>
    <row r="62" spans="10:13" ht="12.75">
      <c r="J62" s="16">
        <f t="shared" si="0"/>
        <v>0</v>
      </c>
      <c r="K62" s="27"/>
      <c r="M62" s="16"/>
    </row>
    <row r="63" spans="1:13" ht="12.75">
      <c r="A63" s="7" t="s">
        <v>35</v>
      </c>
      <c r="J63" s="16">
        <f t="shared" si="0"/>
        <v>0</v>
      </c>
      <c r="K63" s="27"/>
      <c r="M63" s="16"/>
    </row>
    <row r="64" spans="2:14" ht="12.75">
      <c r="B64" t="s">
        <v>36</v>
      </c>
      <c r="H64" s="39">
        <v>0</v>
      </c>
      <c r="I64" s="2">
        <v>-814</v>
      </c>
      <c r="J64" s="16">
        <f t="shared" si="0"/>
        <v>-814</v>
      </c>
      <c r="K64" s="27"/>
      <c r="M64" s="16">
        <f>ROUND(H64,0)</f>
        <v>0</v>
      </c>
      <c r="N64" t="s">
        <v>171</v>
      </c>
    </row>
    <row r="65" spans="2:13" ht="12.75">
      <c r="B65" t="s">
        <v>240</v>
      </c>
      <c r="H65" s="39"/>
      <c r="I65" s="2">
        <f>4070-1</f>
        <v>4069</v>
      </c>
      <c r="J65" s="16">
        <f t="shared" si="0"/>
        <v>4069</v>
      </c>
      <c r="K65" s="27"/>
      <c r="M65" s="16"/>
    </row>
    <row r="66" spans="2:14" ht="12.75">
      <c r="B66" s="26" t="s">
        <v>136</v>
      </c>
      <c r="C66" s="27"/>
      <c r="D66" s="27"/>
      <c r="E66" s="27"/>
      <c r="F66" s="27"/>
      <c r="G66" s="27"/>
      <c r="H66" s="25">
        <v>0</v>
      </c>
      <c r="I66" s="25">
        <v>0</v>
      </c>
      <c r="J66" s="16">
        <f t="shared" si="0"/>
        <v>0</v>
      </c>
      <c r="K66" s="27"/>
      <c r="M66" s="16">
        <f>ROUND(H66,0)</f>
        <v>0</v>
      </c>
      <c r="N66" t="s">
        <v>171</v>
      </c>
    </row>
    <row r="67" spans="2:13" ht="12.75">
      <c r="B67" s="22"/>
      <c r="J67" s="16">
        <f t="shared" si="0"/>
        <v>0</v>
      </c>
      <c r="K67" s="27"/>
      <c r="M67" s="16"/>
    </row>
    <row r="68" spans="1:13" ht="12.75">
      <c r="A68" s="7" t="s">
        <v>137</v>
      </c>
      <c r="B68" s="22"/>
      <c r="H68" s="8">
        <f>SUM(H64:H66)</f>
        <v>0</v>
      </c>
      <c r="I68" s="8">
        <f>SUM(I64:I66)</f>
        <v>3255</v>
      </c>
      <c r="J68" s="16">
        <f t="shared" si="0"/>
        <v>3255</v>
      </c>
      <c r="K68" s="27"/>
      <c r="M68" s="16"/>
    </row>
    <row r="69" spans="2:13" ht="12.75">
      <c r="B69" s="22"/>
      <c r="J69" s="16">
        <f t="shared" si="0"/>
        <v>0</v>
      </c>
      <c r="K69" s="27"/>
      <c r="M69" s="16">
        <f>ROUND(H69,0)</f>
        <v>0</v>
      </c>
    </row>
    <row r="70" spans="1:14" ht="13.5" thickBot="1">
      <c r="A70" s="7" t="s">
        <v>37</v>
      </c>
      <c r="H70" s="24">
        <f>+H59-H68</f>
        <v>436827.0728571429</v>
      </c>
      <c r="I70" s="24">
        <f>+I59-I68</f>
        <v>354519</v>
      </c>
      <c r="J70" s="16">
        <f t="shared" si="0"/>
        <v>-82308.07285714289</v>
      </c>
      <c r="K70" s="27"/>
      <c r="M70" s="16">
        <f>ROUND(H70,0)</f>
        <v>436827</v>
      </c>
      <c r="N70" t="s">
        <v>172</v>
      </c>
    </row>
    <row r="71" spans="10:14" ht="13.5" thickTop="1">
      <c r="J71" s="16">
        <f t="shared" si="0"/>
        <v>0</v>
      </c>
      <c r="K71" s="27"/>
      <c r="M71" s="16">
        <f>SUM(M63:M70)</f>
        <v>436827</v>
      </c>
      <c r="N71" t="s">
        <v>173</v>
      </c>
    </row>
    <row r="72" spans="1:13" ht="12.75">
      <c r="A72" s="7" t="s">
        <v>38</v>
      </c>
      <c r="J72" s="16">
        <f t="shared" si="0"/>
        <v>0</v>
      </c>
      <c r="K72" s="27"/>
      <c r="M72" s="16"/>
    </row>
    <row r="73" spans="1:14" ht="12.75">
      <c r="A73" t="s">
        <v>39</v>
      </c>
      <c r="J73" s="16">
        <f t="shared" si="0"/>
        <v>0</v>
      </c>
      <c r="K73" s="27"/>
      <c r="M73" s="16">
        <f>+M59-M71</f>
        <v>0</v>
      </c>
      <c r="N73" t="s">
        <v>174</v>
      </c>
    </row>
    <row r="74" spans="2:13" ht="12.75">
      <c r="B74" t="str">
        <f>+A4</f>
        <v>John Summers</v>
      </c>
      <c r="H74" s="41">
        <f>'Member Statements'!F15</f>
        <v>246180.44761466072</v>
      </c>
      <c r="I74" s="41">
        <f>+'Member Statements'!C11</f>
        <v>183118</v>
      </c>
      <c r="J74" s="16">
        <f t="shared" si="0"/>
        <v>-63062.44761466072</v>
      </c>
      <c r="K74" s="27"/>
      <c r="M74" s="16"/>
    </row>
    <row r="75" spans="2:13" ht="12.75">
      <c r="B75" t="str">
        <f>+A5</f>
        <v>Sarah Summers</v>
      </c>
      <c r="H75" s="41">
        <f>'Member Statements'!F27</f>
        <v>190646.62524248217</v>
      </c>
      <c r="I75" s="41">
        <f>+'Member Statements'!C23+1</f>
        <v>171401</v>
      </c>
      <c r="J75" s="16">
        <f t="shared" si="0"/>
        <v>-19245.625242482172</v>
      </c>
      <c r="K75" s="27"/>
      <c r="M75" s="16"/>
    </row>
    <row r="76" spans="8:13" ht="13.5" thickBot="1">
      <c r="H76" s="24">
        <f>SUM(H74:H75)</f>
        <v>436827.0728571429</v>
      </c>
      <c r="I76" s="24">
        <f>SUM(I74:I75)</f>
        <v>354519</v>
      </c>
      <c r="J76" s="55">
        <f>+H76-I76</f>
        <v>82308.07285714289</v>
      </c>
      <c r="K76" s="1" t="s">
        <v>175</v>
      </c>
      <c r="M76" s="16"/>
    </row>
    <row r="77" spans="10:11" ht="13.5" thickTop="1">
      <c r="J77" s="56">
        <f>+H127</f>
        <v>82308.07342857141</v>
      </c>
      <c r="K77" s="1" t="s">
        <v>176</v>
      </c>
    </row>
    <row r="78" spans="1:11" ht="12.75">
      <c r="A78" s="6" t="s">
        <v>43</v>
      </c>
      <c r="J78" s="55">
        <f>+J77-J76</f>
        <v>0.000571428521652706</v>
      </c>
      <c r="K78" s="1" t="s">
        <v>177</v>
      </c>
    </row>
    <row r="79" spans="10:11" ht="12.75">
      <c r="J79" s="55">
        <v>0</v>
      </c>
      <c r="K79" s="1" t="s">
        <v>178</v>
      </c>
    </row>
    <row r="80" spans="10:11" ht="12.75">
      <c r="J80" s="55">
        <v>0</v>
      </c>
      <c r="K80" s="1" t="s">
        <v>179</v>
      </c>
    </row>
    <row r="81" spans="10:11" ht="13.5" thickBot="1">
      <c r="J81" s="57">
        <f>SUM(J78:J80)</f>
        <v>0.000571428521652706</v>
      </c>
      <c r="K81" s="1" t="s">
        <v>180</v>
      </c>
    </row>
    <row r="82" spans="1:14" s="7" customFormat="1" ht="13.5" thickTop="1">
      <c r="A82" s="7" t="str">
        <f>+A36</f>
        <v>Sample Super Funds</v>
      </c>
      <c r="H82" s="8"/>
      <c r="I82" s="8"/>
      <c r="J82" s="58"/>
      <c r="K82" s="58"/>
      <c r="M82"/>
      <c r="N82"/>
    </row>
    <row r="83" spans="1:14" s="7" customFormat="1" ht="12.75">
      <c r="A83" s="7" t="s">
        <v>337</v>
      </c>
      <c r="H83" s="9">
        <v>2014</v>
      </c>
      <c r="I83" s="9">
        <v>2013</v>
      </c>
      <c r="J83" s="58"/>
      <c r="K83" s="58"/>
      <c r="M83" t="s">
        <v>165</v>
      </c>
      <c r="N83" t="s">
        <v>166</v>
      </c>
    </row>
    <row r="84" spans="8:11" s="7" customFormat="1" ht="12.75">
      <c r="H84" s="10" t="s">
        <v>29</v>
      </c>
      <c r="I84" s="10" t="s">
        <v>29</v>
      </c>
      <c r="J84" s="58"/>
      <c r="K84" s="58"/>
    </row>
    <row r="85" spans="1:11" ht="12.75">
      <c r="A85" t="s">
        <v>44</v>
      </c>
      <c r="J85" s="27"/>
      <c r="K85" s="27"/>
    </row>
    <row r="86" spans="2:13" ht="12.75">
      <c r="B86" t="s">
        <v>72</v>
      </c>
      <c r="I86" s="2">
        <v>0</v>
      </c>
      <c r="J86" s="27"/>
      <c r="K86" s="27"/>
      <c r="M86" s="16">
        <f aca="true" t="shared" si="2" ref="M86:M130">ROUND(H86,0)</f>
        <v>0</v>
      </c>
    </row>
    <row r="87" spans="2:13" ht="12.75">
      <c r="B87" t="s">
        <v>45</v>
      </c>
      <c r="H87" s="2">
        <v>50000</v>
      </c>
      <c r="I87" s="2">
        <v>0</v>
      </c>
      <c r="J87" s="27"/>
      <c r="K87" s="27"/>
      <c r="M87" s="16">
        <f t="shared" si="2"/>
        <v>50000</v>
      </c>
    </row>
    <row r="88" spans="2:13" ht="12.75">
      <c r="B88" t="s">
        <v>73</v>
      </c>
      <c r="I88" s="2">
        <v>0</v>
      </c>
      <c r="J88" s="27"/>
      <c r="K88" s="27"/>
      <c r="M88" s="16">
        <f t="shared" si="2"/>
        <v>0</v>
      </c>
    </row>
    <row r="89" spans="2:14" ht="12.75">
      <c r="B89" t="s">
        <v>94</v>
      </c>
      <c r="H89" s="2">
        <v>0</v>
      </c>
      <c r="J89" s="27"/>
      <c r="K89" s="27"/>
      <c r="M89" s="16">
        <f t="shared" si="2"/>
        <v>0</v>
      </c>
      <c r="N89" t="s">
        <v>181</v>
      </c>
    </row>
    <row r="90" spans="2:14" ht="12.75">
      <c r="B90" t="s">
        <v>71</v>
      </c>
      <c r="H90" s="2">
        <f>+Securities!I23</f>
        <v>2727.0499999999984</v>
      </c>
      <c r="I90" s="2">
        <v>-23323</v>
      </c>
      <c r="J90" s="27"/>
      <c r="K90" s="27"/>
      <c r="M90" s="16">
        <f t="shared" si="2"/>
        <v>2727</v>
      </c>
      <c r="N90" t="s">
        <v>320</v>
      </c>
    </row>
    <row r="91" spans="2:14" s="11" customFormat="1" ht="12.75">
      <c r="B91" s="11" t="s">
        <v>46</v>
      </c>
      <c r="H91" s="3"/>
      <c r="I91" s="3">
        <v>0</v>
      </c>
      <c r="J91" s="45"/>
      <c r="K91" s="45"/>
      <c r="M91" s="16">
        <f t="shared" si="2"/>
        <v>0</v>
      </c>
      <c r="N91" t="s">
        <v>182</v>
      </c>
    </row>
    <row r="92" spans="2:14" ht="12.75">
      <c r="B92" s="22" t="s">
        <v>158</v>
      </c>
      <c r="H92" s="2">
        <f>+GETPIVOTDATA("Transaction value",Bank!$F$16,"Description","Dividend")+30000</f>
        <v>34069.96</v>
      </c>
      <c r="I92" s="2">
        <f>30+503+1237+320+37+220+68+457+122+536+155</f>
        <v>3685</v>
      </c>
      <c r="J92" s="27"/>
      <c r="K92" s="27"/>
      <c r="M92" s="16">
        <f t="shared" si="2"/>
        <v>34070</v>
      </c>
      <c r="N92" t="s">
        <v>183</v>
      </c>
    </row>
    <row r="93" spans="2:14" ht="12.75">
      <c r="B93" s="22" t="s">
        <v>159</v>
      </c>
      <c r="H93" s="2">
        <f>+Bank!D56</f>
        <v>1147.7528571428572</v>
      </c>
      <c r="I93" s="2">
        <v>0</v>
      </c>
      <c r="J93" s="27"/>
      <c r="K93" s="27"/>
      <c r="M93" s="16">
        <f t="shared" si="2"/>
        <v>1148</v>
      </c>
      <c r="N93" t="s">
        <v>322</v>
      </c>
    </row>
    <row r="94" spans="2:13" ht="12.75">
      <c r="B94" t="s">
        <v>69</v>
      </c>
      <c r="H94" s="25">
        <v>0</v>
      </c>
      <c r="I94" s="25">
        <f>62+2708+191</f>
        <v>2961</v>
      </c>
      <c r="J94" s="27"/>
      <c r="K94" s="27"/>
      <c r="M94" s="16">
        <f t="shared" si="2"/>
        <v>0</v>
      </c>
    </row>
    <row r="95" spans="2:13" ht="12.75">
      <c r="B95" t="s">
        <v>274</v>
      </c>
      <c r="H95" s="25">
        <f>+GETPIVOTDATA("Transaction value",Bank!$F$16,"Description","Key Capital Deposit")</f>
        <v>958.31</v>
      </c>
      <c r="I95" s="25"/>
      <c r="J95" s="27"/>
      <c r="K95" s="27"/>
      <c r="M95" s="16"/>
    </row>
    <row r="96" spans="2:14" ht="12.75">
      <c r="B96" t="s">
        <v>278</v>
      </c>
      <c r="H96" s="2">
        <f>+GETPIVOTDATA("Transaction value",Bank!$F$16,"Description","Interest")</f>
        <v>5311.15</v>
      </c>
      <c r="I96" s="2">
        <v>7286</v>
      </c>
      <c r="J96" s="27"/>
      <c r="K96" s="27"/>
      <c r="M96" s="16">
        <f t="shared" si="2"/>
        <v>5311</v>
      </c>
      <c r="N96" s="11" t="s">
        <v>184</v>
      </c>
    </row>
    <row r="97" spans="2:14" ht="12.75">
      <c r="B97" t="s">
        <v>279</v>
      </c>
      <c r="H97" s="2">
        <f>+Bank!C60+Bank!C67</f>
        <v>4808.15</v>
      </c>
      <c r="J97" s="27"/>
      <c r="K97" s="27"/>
      <c r="M97" s="16">
        <f t="shared" si="2"/>
        <v>4808</v>
      </c>
      <c r="N97" s="11" t="s">
        <v>184</v>
      </c>
    </row>
    <row r="98" spans="2:14" ht="12.75">
      <c r="B98" t="s">
        <v>276</v>
      </c>
      <c r="H98" s="4">
        <f>-Workings!B20</f>
        <v>14.889999999999986</v>
      </c>
      <c r="I98" s="4">
        <v>0</v>
      </c>
      <c r="J98" s="27"/>
      <c r="K98" s="27"/>
      <c r="M98" s="54">
        <f t="shared" si="2"/>
        <v>15</v>
      </c>
      <c r="N98" s="11" t="s">
        <v>184</v>
      </c>
    </row>
    <row r="99" spans="8:14" ht="12.75">
      <c r="H99" s="3">
        <f>SUM(H86:H98)</f>
        <v>99037.26285714284</v>
      </c>
      <c r="I99" s="3">
        <f>SUM(I86:I98)</f>
        <v>-9391</v>
      </c>
      <c r="J99" s="27"/>
      <c r="K99" s="27"/>
      <c r="M99" s="16">
        <f>SUM(M86:M98)</f>
        <v>98079</v>
      </c>
      <c r="N99" t="s">
        <v>185</v>
      </c>
    </row>
    <row r="100" spans="8:13" ht="12.75">
      <c r="H100" s="3"/>
      <c r="I100" s="3"/>
      <c r="J100" s="27"/>
      <c r="K100" s="27"/>
      <c r="M100" s="16">
        <f t="shared" si="2"/>
        <v>0</v>
      </c>
    </row>
    <row r="101" spans="1:13" ht="12.75">
      <c r="A101" t="s">
        <v>95</v>
      </c>
      <c r="H101" s="3"/>
      <c r="I101" s="3"/>
      <c r="J101" s="27"/>
      <c r="K101" s="27"/>
      <c r="M101" s="16"/>
    </row>
    <row r="102" spans="2:14" ht="12.75">
      <c r="B102" t="s">
        <v>96</v>
      </c>
      <c r="H102" s="4">
        <f>Securities!E26-H90</f>
        <v>2588.05</v>
      </c>
      <c r="I102" s="4">
        <v>-3652</v>
      </c>
      <c r="J102" s="27"/>
      <c r="K102" s="27"/>
      <c r="M102" s="59">
        <f t="shared" si="2"/>
        <v>2588</v>
      </c>
      <c r="N102" t="s">
        <v>186</v>
      </c>
    </row>
    <row r="103" spans="8:14" ht="12.75">
      <c r="H103" s="3">
        <f>SUM(H102)</f>
        <v>2588.05</v>
      </c>
      <c r="I103" s="3">
        <f>SUM(I102)</f>
        <v>-3652</v>
      </c>
      <c r="J103" s="27"/>
      <c r="K103" s="27"/>
      <c r="L103" s="27"/>
      <c r="M103" s="27"/>
      <c r="N103" s="27"/>
    </row>
    <row r="104" spans="10:13" ht="12.75">
      <c r="J104" s="27"/>
      <c r="K104" s="27"/>
      <c r="M104" s="16">
        <f t="shared" si="2"/>
        <v>0</v>
      </c>
    </row>
    <row r="105" spans="1:13" ht="12.75">
      <c r="A105" t="s">
        <v>47</v>
      </c>
      <c r="J105" s="27"/>
      <c r="K105" s="27"/>
      <c r="M105" s="16">
        <f t="shared" si="2"/>
        <v>0</v>
      </c>
    </row>
    <row r="106" spans="10:13" ht="12.75">
      <c r="J106" s="27"/>
      <c r="K106" s="27"/>
      <c r="M106" s="16">
        <f t="shared" si="2"/>
        <v>0</v>
      </c>
    </row>
    <row r="107" spans="2:14" ht="12.75">
      <c r="B107" t="s">
        <v>48</v>
      </c>
      <c r="H107" s="38">
        <f>-Workings!B12</f>
        <v>4616</v>
      </c>
      <c r="I107" s="2">
        <v>4070</v>
      </c>
      <c r="J107" s="74">
        <f>+I65</f>
        <v>4069</v>
      </c>
      <c r="K107" s="27"/>
      <c r="M107" s="16">
        <f t="shared" si="2"/>
        <v>4616</v>
      </c>
      <c r="N107" t="s">
        <v>187</v>
      </c>
    </row>
    <row r="108" spans="2:13" ht="12.75">
      <c r="B108" t="s">
        <v>49</v>
      </c>
      <c r="H108" s="2">
        <v>0</v>
      </c>
      <c r="I108" s="2">
        <v>0</v>
      </c>
      <c r="J108" s="74">
        <f>SUM(H107:H114)</f>
        <v>5001</v>
      </c>
      <c r="K108" s="27"/>
      <c r="M108" s="16">
        <f t="shared" si="2"/>
        <v>0</v>
      </c>
    </row>
    <row r="109" spans="2:14" ht="12.75">
      <c r="B109" t="s">
        <v>321</v>
      </c>
      <c r="H109" s="2">
        <f>-GETPIVOTDATA("Transaction value",Bank!$F$16,"Description","Actuary fee")</f>
        <v>385</v>
      </c>
      <c r="I109" s="2">
        <v>187</v>
      </c>
      <c r="J109" s="74">
        <f>+H118</f>
        <v>40</v>
      </c>
      <c r="K109" s="27"/>
      <c r="M109" s="16">
        <f>ROUND(H109,0)</f>
        <v>385</v>
      </c>
      <c r="N109" t="s">
        <v>187</v>
      </c>
    </row>
    <row r="110" spans="2:13" ht="12.75">
      <c r="B110" t="s">
        <v>97</v>
      </c>
      <c r="H110" s="25">
        <v>0</v>
      </c>
      <c r="I110" s="2">
        <v>0</v>
      </c>
      <c r="J110" s="74">
        <f>-SUM(J107:J109)</f>
        <v>-9110</v>
      </c>
      <c r="K110" s="27"/>
      <c r="M110" s="16">
        <f t="shared" si="2"/>
        <v>0</v>
      </c>
    </row>
    <row r="111" spans="2:13" ht="12.75">
      <c r="B111" t="s">
        <v>50</v>
      </c>
      <c r="H111" s="2">
        <v>0</v>
      </c>
      <c r="I111" s="2">
        <v>150</v>
      </c>
      <c r="J111" s="74">
        <f>SUM(H92:H98)</f>
        <v>46310.212857142855</v>
      </c>
      <c r="K111" s="27"/>
      <c r="M111" s="16">
        <f t="shared" si="2"/>
        <v>0</v>
      </c>
    </row>
    <row r="112" spans="2:13" ht="12.75">
      <c r="B112" t="s">
        <v>277</v>
      </c>
      <c r="J112" s="74">
        <f>+J110+J111</f>
        <v>37200.212857142855</v>
      </c>
      <c r="K112" s="27"/>
      <c r="M112" s="16">
        <f t="shared" si="2"/>
        <v>0</v>
      </c>
    </row>
    <row r="113" spans="3:14" ht="12.75">
      <c r="C113" t="str">
        <f>+A4</f>
        <v>John Summers</v>
      </c>
      <c r="H113" s="2">
        <v>0</v>
      </c>
      <c r="I113" s="2">
        <v>0</v>
      </c>
      <c r="J113" s="74">
        <f>+J45</f>
        <v>17994.749999999956</v>
      </c>
      <c r="K113" s="27"/>
      <c r="M113" s="16">
        <f t="shared" si="2"/>
        <v>0</v>
      </c>
      <c r="N113" t="s">
        <v>188</v>
      </c>
    </row>
    <row r="114" spans="3:14" ht="12.75">
      <c r="C114" t="str">
        <f>+A5</f>
        <v>Sarah Summers</v>
      </c>
      <c r="H114" s="2">
        <v>0</v>
      </c>
      <c r="I114" s="2">
        <v>0</v>
      </c>
      <c r="J114" s="74">
        <f>+J112+J113</f>
        <v>55194.96285714281</v>
      </c>
      <c r="K114" s="27"/>
      <c r="M114" s="16">
        <f t="shared" si="2"/>
        <v>0</v>
      </c>
      <c r="N114" t="str">
        <f>+N113</f>
        <v>C F</v>
      </c>
    </row>
    <row r="115" spans="2:13" ht="12.75">
      <c r="B115" t="s">
        <v>237</v>
      </c>
      <c r="I115" s="2">
        <v>2789</v>
      </c>
      <c r="J115" s="27"/>
      <c r="K115" s="27"/>
      <c r="M115" s="16"/>
    </row>
    <row r="116" spans="2:13" ht="12.75">
      <c r="B116" t="s">
        <v>74</v>
      </c>
      <c r="I116" s="2">
        <v>849</v>
      </c>
      <c r="J116" s="27"/>
      <c r="K116" s="27"/>
      <c r="M116" s="16">
        <f t="shared" si="2"/>
        <v>0</v>
      </c>
    </row>
    <row r="117" spans="2:13" ht="12.75">
      <c r="B117" t="s">
        <v>270</v>
      </c>
      <c r="H117" s="2">
        <f>+I53</f>
        <v>208</v>
      </c>
      <c r="J117" s="27"/>
      <c r="K117" s="27"/>
      <c r="M117" s="16"/>
    </row>
    <row r="118" spans="2:14" ht="12.75">
      <c r="B118" s="22" t="s">
        <v>152</v>
      </c>
      <c r="H118" s="4">
        <f>-GETPIVOTDATA("Transaction value",Bank!$F$16,"Description","Bank Fees")</f>
        <v>40</v>
      </c>
      <c r="I118" s="4">
        <v>39</v>
      </c>
      <c r="J118" s="27"/>
      <c r="K118" s="27"/>
      <c r="M118" s="54">
        <f t="shared" si="2"/>
        <v>40</v>
      </c>
      <c r="N118" t="s">
        <v>189</v>
      </c>
    </row>
    <row r="119" spans="8:14" ht="12.75">
      <c r="H119" s="2">
        <f>SUM(H107:H118)</f>
        <v>5249</v>
      </c>
      <c r="I119" s="2">
        <f>SUM(I107:I118)</f>
        <v>8084</v>
      </c>
      <c r="J119" s="27"/>
      <c r="K119" s="27"/>
      <c r="M119" s="16">
        <f t="shared" si="2"/>
        <v>5249</v>
      </c>
      <c r="N119" t="s">
        <v>190</v>
      </c>
    </row>
    <row r="120" spans="10:13" ht="12.75">
      <c r="J120" s="27"/>
      <c r="K120" s="27"/>
      <c r="M120" s="16">
        <f t="shared" si="2"/>
        <v>0</v>
      </c>
    </row>
    <row r="121" spans="1:14" ht="12.75">
      <c r="A121" t="s">
        <v>51</v>
      </c>
      <c r="H121" s="2">
        <f>+H99+H103-H119</f>
        <v>96376.31285714284</v>
      </c>
      <c r="I121" s="2">
        <f>+I99-I119+I103</f>
        <v>-21127</v>
      </c>
      <c r="J121" s="27"/>
      <c r="K121" s="27"/>
      <c r="M121" s="54">
        <f>+M99-M119</f>
        <v>92830</v>
      </c>
      <c r="N121" t="s">
        <v>189</v>
      </c>
    </row>
    <row r="122" spans="10:14" ht="12.75">
      <c r="J122" s="27"/>
      <c r="K122" s="27"/>
      <c r="M122" s="16"/>
      <c r="N122" t="s">
        <v>191</v>
      </c>
    </row>
    <row r="123" spans="1:13" ht="12.75">
      <c r="A123" t="s">
        <v>52</v>
      </c>
      <c r="J123" s="27"/>
      <c r="K123" s="27"/>
      <c r="M123" s="16">
        <f t="shared" si="2"/>
        <v>0</v>
      </c>
    </row>
    <row r="124" spans="2:14" ht="12.75">
      <c r="B124" t="s">
        <v>53</v>
      </c>
      <c r="G124" t="s">
        <v>104</v>
      </c>
      <c r="H124" s="2">
        <f>H217</f>
        <v>14068.239428571425</v>
      </c>
      <c r="I124" s="2">
        <v>64</v>
      </c>
      <c r="J124" s="27"/>
      <c r="K124" s="27"/>
      <c r="M124" s="16">
        <f>+M103-M122</f>
        <v>0</v>
      </c>
      <c r="N124" t="s">
        <v>192</v>
      </c>
    </row>
    <row r="125" spans="2:13" ht="12.75">
      <c r="B125" t="s">
        <v>54</v>
      </c>
      <c r="H125" s="2">
        <v>0</v>
      </c>
      <c r="I125" s="2">
        <v>0</v>
      </c>
      <c r="J125" s="27"/>
      <c r="K125" s="27"/>
      <c r="M125" s="16">
        <f t="shared" si="2"/>
        <v>0</v>
      </c>
    </row>
    <row r="126" spans="10:13" ht="12.75">
      <c r="J126" s="27"/>
      <c r="K126" s="27"/>
      <c r="M126" s="16">
        <f t="shared" si="2"/>
        <v>0</v>
      </c>
    </row>
    <row r="127" spans="1:14" ht="13.5" thickBot="1">
      <c r="A127" t="s">
        <v>55</v>
      </c>
      <c r="H127" s="5">
        <f>+H121-H124</f>
        <v>82308.07342857141</v>
      </c>
      <c r="I127" s="5">
        <f>+I121-I124</f>
        <v>-21191</v>
      </c>
      <c r="J127" s="27"/>
      <c r="K127" s="27"/>
      <c r="M127" s="16">
        <f t="shared" si="2"/>
        <v>82308</v>
      </c>
      <c r="N127" t="s">
        <v>193</v>
      </c>
    </row>
    <row r="128" spans="10:13" ht="13.5" thickTop="1">
      <c r="J128" s="27"/>
      <c r="K128" s="27"/>
      <c r="M128" s="16">
        <f t="shared" si="2"/>
        <v>0</v>
      </c>
    </row>
    <row r="129" spans="1:13" ht="12.75">
      <c r="A129" s="6" t="s">
        <v>56</v>
      </c>
      <c r="J129" s="27"/>
      <c r="K129" s="27"/>
      <c r="M129" s="16">
        <f t="shared" si="2"/>
        <v>0</v>
      </c>
    </row>
    <row r="130" ht="12.75">
      <c r="M130" s="16">
        <f t="shared" si="2"/>
        <v>0</v>
      </c>
    </row>
    <row r="133" spans="1:14" s="7" customFormat="1" ht="12.75">
      <c r="A133" s="7" t="str">
        <f>+A82</f>
        <v>Sample Super Funds</v>
      </c>
      <c r="H133" s="8"/>
      <c r="I133" s="8"/>
      <c r="M133"/>
      <c r="N133"/>
    </row>
    <row r="134" spans="1:14" s="7" customFormat="1" ht="12.75">
      <c r="A134" s="7" t="s">
        <v>344</v>
      </c>
      <c r="H134" s="9">
        <v>2014</v>
      </c>
      <c r="I134" s="9">
        <v>2013</v>
      </c>
      <c r="M134"/>
      <c r="N134"/>
    </row>
    <row r="135" spans="8:14" s="7" customFormat="1" ht="12.75">
      <c r="H135" s="10" t="s">
        <v>29</v>
      </c>
      <c r="I135" s="10" t="s">
        <v>29</v>
      </c>
      <c r="M135"/>
      <c r="N135"/>
    </row>
    <row r="136" spans="13:14" ht="12.75">
      <c r="M136" s="7"/>
      <c r="N136" s="7"/>
    </row>
    <row r="137" spans="1:14" ht="12.75">
      <c r="A137" t="s">
        <v>58</v>
      </c>
      <c r="M137" s="7"/>
      <c r="N137" s="7"/>
    </row>
    <row r="138" spans="1:14" ht="42.75" customHeight="1">
      <c r="A138" s="86" t="s">
        <v>75</v>
      </c>
      <c r="B138" s="86"/>
      <c r="C138" s="86"/>
      <c r="D138" s="86"/>
      <c r="E138" s="86"/>
      <c r="F138" s="86"/>
      <c r="G138" s="86"/>
      <c r="H138" s="86"/>
      <c r="I138" s="86"/>
      <c r="M138" s="7"/>
      <c r="N138" s="7"/>
    </row>
    <row r="140" ht="12.75">
      <c r="A140" t="s">
        <v>59</v>
      </c>
    </row>
    <row r="142" ht="12.75">
      <c r="A142" t="s">
        <v>60</v>
      </c>
    </row>
    <row r="143" spans="1:9" ht="51.75" customHeight="1">
      <c r="A143" s="86" t="s">
        <v>12</v>
      </c>
      <c r="B143" s="86"/>
      <c r="C143" s="86"/>
      <c r="D143" s="86"/>
      <c r="E143" s="86"/>
      <c r="F143" s="86"/>
      <c r="G143" s="86"/>
      <c r="H143" s="86"/>
      <c r="I143" s="86"/>
    </row>
    <row r="145" ht="12.75">
      <c r="A145" t="s">
        <v>6</v>
      </c>
    </row>
    <row r="147" ht="12.75">
      <c r="A147" t="s">
        <v>61</v>
      </c>
    </row>
    <row r="148" spans="1:9" ht="75.75" customHeight="1">
      <c r="A148" s="86" t="s">
        <v>7</v>
      </c>
      <c r="B148" s="86"/>
      <c r="C148" s="86"/>
      <c r="D148" s="86"/>
      <c r="E148" s="86"/>
      <c r="F148" s="86"/>
      <c r="G148" s="86"/>
      <c r="H148" s="86"/>
      <c r="I148" s="86"/>
    </row>
    <row r="150" ht="12.75">
      <c r="A150" t="s">
        <v>62</v>
      </c>
    </row>
    <row r="151" spans="1:9" ht="57" customHeight="1">
      <c r="A151" s="86" t="s">
        <v>8</v>
      </c>
      <c r="B151" s="86"/>
      <c r="C151" s="86"/>
      <c r="D151" s="86"/>
      <c r="E151" s="86"/>
      <c r="F151" s="86"/>
      <c r="G151" s="86"/>
      <c r="H151" s="86"/>
      <c r="I151" s="86"/>
    </row>
    <row r="152" ht="30.75" customHeight="1"/>
    <row r="153" spans="1:9" s="7" customFormat="1" ht="12.75">
      <c r="A153" s="7" t="str">
        <f>+$A$2</f>
        <v>Sample Super Funds</v>
      </c>
      <c r="H153" s="8"/>
      <c r="I153" s="8"/>
    </row>
    <row r="154" s="7" customFormat="1" ht="12.75">
      <c r="A154" s="7" t="s">
        <v>339</v>
      </c>
    </row>
    <row r="155" spans="8:9" s="7" customFormat="1" ht="12.75">
      <c r="H155" s="9">
        <v>2014</v>
      </c>
      <c r="I155" s="9">
        <v>2013</v>
      </c>
    </row>
    <row r="156" spans="8:9" s="7" customFormat="1" ht="12.75">
      <c r="H156" s="10" t="s">
        <v>29</v>
      </c>
      <c r="I156" s="10" t="s">
        <v>29</v>
      </c>
    </row>
    <row r="157" ht="12.75">
      <c r="A157" t="s">
        <v>14</v>
      </c>
    </row>
    <row r="158" spans="1:9" ht="53.25" customHeight="1">
      <c r="A158" s="85" t="s">
        <v>13</v>
      </c>
      <c r="B158" s="85"/>
      <c r="C158" s="85"/>
      <c r="D158" s="85"/>
      <c r="E158" s="85"/>
      <c r="F158" s="85"/>
      <c r="G158" s="85"/>
      <c r="H158" s="85"/>
      <c r="I158" s="85"/>
    </row>
    <row r="159" spans="1:9" ht="138" customHeight="1">
      <c r="A159" s="85" t="s">
        <v>63</v>
      </c>
      <c r="B159" s="85"/>
      <c r="C159" s="85"/>
      <c r="D159" s="85"/>
      <c r="E159" s="85"/>
      <c r="F159" s="85"/>
      <c r="G159" s="85"/>
      <c r="H159" s="85"/>
      <c r="I159" s="85"/>
    </row>
    <row r="161" ht="12.75">
      <c r="A161" t="s">
        <v>15</v>
      </c>
    </row>
    <row r="162" ht="12.75">
      <c r="A162" t="s">
        <v>16</v>
      </c>
    </row>
    <row r="163" ht="12.75">
      <c r="A163" t="s">
        <v>17</v>
      </c>
    </row>
    <row r="164" ht="12.75">
      <c r="A164" t="s">
        <v>18</v>
      </c>
    </row>
    <row r="165" ht="12.75">
      <c r="A165" t="s">
        <v>19</v>
      </c>
    </row>
    <row r="167" ht="12.75">
      <c r="A167" t="s">
        <v>64</v>
      </c>
    </row>
    <row r="168" spans="1:9" ht="42" customHeight="1">
      <c r="A168" s="85" t="s">
        <v>65</v>
      </c>
      <c r="B168" s="85"/>
      <c r="C168" s="85"/>
      <c r="D168" s="85"/>
      <c r="E168" s="85"/>
      <c r="F168" s="85"/>
      <c r="G168" s="85"/>
      <c r="H168" s="85"/>
      <c r="I168" s="85"/>
    </row>
    <row r="170" ht="12.75">
      <c r="A170" t="s">
        <v>106</v>
      </c>
    </row>
    <row r="171" spans="1:9" ht="42" customHeight="1">
      <c r="A171" s="85" t="s">
        <v>9</v>
      </c>
      <c r="B171" s="85"/>
      <c r="C171" s="85"/>
      <c r="D171" s="85"/>
      <c r="E171" s="85"/>
      <c r="F171" s="85"/>
      <c r="G171" s="85"/>
      <c r="H171" s="85"/>
      <c r="I171" s="85"/>
    </row>
    <row r="172" spans="1:9" ht="42" customHeight="1">
      <c r="A172" s="85" t="s">
        <v>105</v>
      </c>
      <c r="B172" s="85"/>
      <c r="C172" s="85"/>
      <c r="D172" s="85"/>
      <c r="E172" s="85"/>
      <c r="F172" s="85"/>
      <c r="G172" s="85"/>
      <c r="H172" s="85"/>
      <c r="I172" s="85"/>
    </row>
    <row r="174" ht="12.75">
      <c r="A174" t="s">
        <v>67</v>
      </c>
    </row>
    <row r="175" spans="1:9" ht="92.25" customHeight="1">
      <c r="A175" s="85" t="s">
        <v>66</v>
      </c>
      <c r="B175" s="85"/>
      <c r="C175" s="85"/>
      <c r="D175" s="85"/>
      <c r="E175" s="85"/>
      <c r="F175" s="85"/>
      <c r="G175" s="85"/>
      <c r="H175" s="85"/>
      <c r="I175" s="85"/>
    </row>
    <row r="178" spans="1:9" s="7" customFormat="1" ht="12.75">
      <c r="A178" s="7" t="str">
        <f>+$A$2</f>
        <v>Sample Super Funds</v>
      </c>
      <c r="H178" s="8"/>
      <c r="I178" s="8"/>
    </row>
    <row r="179" s="7" customFormat="1" ht="12.75">
      <c r="A179" s="7" t="s">
        <v>339</v>
      </c>
    </row>
    <row r="180" spans="8:9" s="7" customFormat="1" ht="12.75">
      <c r="H180" s="9">
        <v>2014</v>
      </c>
      <c r="I180" s="9">
        <v>2013</v>
      </c>
    </row>
    <row r="181" spans="8:9" s="7" customFormat="1" ht="12.75">
      <c r="H181" s="10" t="s">
        <v>29</v>
      </c>
      <c r="I181" s="10" t="s">
        <v>29</v>
      </c>
    </row>
    <row r="182" ht="12.75">
      <c r="A182" t="s">
        <v>0</v>
      </c>
    </row>
    <row r="183" spans="1:9" ht="62.25" customHeight="1">
      <c r="A183" s="85" t="s">
        <v>10</v>
      </c>
      <c r="B183" s="85"/>
      <c r="C183" s="85"/>
      <c r="D183" s="85"/>
      <c r="E183" s="85"/>
      <c r="F183" s="85"/>
      <c r="G183" s="85"/>
      <c r="H183" s="85"/>
      <c r="I183" s="85"/>
    </row>
    <row r="185" ht="12.75">
      <c r="A185" t="s">
        <v>1</v>
      </c>
    </row>
    <row r="186" spans="1:9" ht="51" customHeight="1">
      <c r="A186" s="85" t="s">
        <v>2</v>
      </c>
      <c r="B186" s="85"/>
      <c r="C186" s="85"/>
      <c r="D186" s="85"/>
      <c r="E186" s="85"/>
      <c r="F186" s="85"/>
      <c r="G186" s="85"/>
      <c r="H186" s="85"/>
      <c r="I186" s="85"/>
    </row>
    <row r="188" ht="12.75">
      <c r="A188" t="s">
        <v>3</v>
      </c>
    </row>
    <row r="189" spans="1:9" ht="28.5" customHeight="1">
      <c r="A189" s="85" t="s">
        <v>115</v>
      </c>
      <c r="B189" s="85"/>
      <c r="C189" s="85"/>
      <c r="D189" s="85"/>
      <c r="E189" s="85"/>
      <c r="F189" s="85"/>
      <c r="G189" s="85"/>
      <c r="H189" s="85"/>
      <c r="I189" s="85"/>
    </row>
    <row r="191" ht="12.75">
      <c r="A191" t="s">
        <v>4</v>
      </c>
    </row>
    <row r="192" spans="1:9" ht="33" customHeight="1">
      <c r="A192" s="85" t="s">
        <v>345</v>
      </c>
      <c r="B192" s="85"/>
      <c r="C192" s="85"/>
      <c r="D192" s="85"/>
      <c r="E192" s="85"/>
      <c r="F192" s="85"/>
      <c r="G192" s="85"/>
      <c r="H192" s="85"/>
      <c r="I192" s="85"/>
    </row>
    <row r="194" ht="12.75">
      <c r="A194" t="s">
        <v>5</v>
      </c>
    </row>
    <row r="195" spans="1:9" ht="25.5" customHeight="1">
      <c r="A195" s="85" t="s">
        <v>116</v>
      </c>
      <c r="B195" s="85"/>
      <c r="C195" s="85"/>
      <c r="D195" s="85"/>
      <c r="E195" s="85"/>
      <c r="F195" s="85"/>
      <c r="G195" s="85"/>
      <c r="H195" s="85"/>
      <c r="I195" s="85"/>
    </row>
    <row r="197" ht="12.75">
      <c r="A197" t="s">
        <v>76</v>
      </c>
    </row>
    <row r="198" spans="1:9" ht="42" customHeight="1">
      <c r="A198" s="85" t="s">
        <v>77</v>
      </c>
      <c r="B198" s="85"/>
      <c r="C198" s="85"/>
      <c r="D198" s="85"/>
      <c r="E198" s="85"/>
      <c r="F198" s="85"/>
      <c r="G198" s="85"/>
      <c r="H198" s="85"/>
      <c r="I198" s="85"/>
    </row>
    <row r="201" spans="1:9" s="7" customFormat="1" ht="12.75">
      <c r="A201" s="7" t="str">
        <f>+$A$2</f>
        <v>Sample Super Funds</v>
      </c>
      <c r="H201" s="8"/>
      <c r="I201" s="8"/>
    </row>
    <row r="202" s="7" customFormat="1" ht="12.75">
      <c r="A202" s="7" t="s">
        <v>339</v>
      </c>
    </row>
    <row r="203" spans="8:9" s="7" customFormat="1" ht="12.75">
      <c r="H203" s="9">
        <v>2014</v>
      </c>
      <c r="I203" s="9">
        <v>2013</v>
      </c>
    </row>
    <row r="204" spans="8:9" s="7" customFormat="1" ht="12.75">
      <c r="H204" s="10" t="s">
        <v>29</v>
      </c>
      <c r="I204" s="10" t="s">
        <v>29</v>
      </c>
    </row>
    <row r="205" ht="12.75">
      <c r="A205" t="s">
        <v>20</v>
      </c>
    </row>
    <row r="206" spans="1:9" ht="42" customHeight="1">
      <c r="A206" s="85" t="s">
        <v>21</v>
      </c>
      <c r="B206" s="85"/>
      <c r="C206" s="85"/>
      <c r="D206" s="85"/>
      <c r="E206" s="85"/>
      <c r="F206" s="85"/>
      <c r="G206" s="85"/>
      <c r="H206" s="85"/>
      <c r="I206" s="85"/>
    </row>
    <row r="207" spans="1:9" ht="42" customHeight="1">
      <c r="A207" s="85" t="s">
        <v>160</v>
      </c>
      <c r="B207" s="85"/>
      <c r="C207" s="85"/>
      <c r="D207" s="85"/>
      <c r="E207" s="85"/>
      <c r="F207" s="85"/>
      <c r="G207" s="85"/>
      <c r="H207" s="85"/>
      <c r="I207" s="85"/>
    </row>
    <row r="208" spans="1:14" ht="26.25" customHeight="1">
      <c r="A208" s="85" t="s">
        <v>78</v>
      </c>
      <c r="B208" s="85"/>
      <c r="C208" s="85"/>
      <c r="D208" s="85"/>
      <c r="E208" s="85"/>
      <c r="F208" s="85"/>
      <c r="G208" s="85"/>
      <c r="H208" s="85"/>
      <c r="I208" s="85"/>
      <c r="M208" t="s">
        <v>194</v>
      </c>
      <c r="N208" t="s">
        <v>166</v>
      </c>
    </row>
    <row r="209" spans="8:9" ht="12.75">
      <c r="H209" s="9">
        <v>2014</v>
      </c>
      <c r="I209" s="9"/>
    </row>
    <row r="210" spans="8:9" ht="12.75">
      <c r="H210" s="10" t="s">
        <v>29</v>
      </c>
      <c r="I210" s="10"/>
    </row>
    <row r="211" spans="1:9" ht="12.75">
      <c r="A211" s="45"/>
      <c r="B211" t="s">
        <v>161</v>
      </c>
      <c r="H211" s="50">
        <f>+H121</f>
        <v>96376.31285714284</v>
      </c>
      <c r="I211" s="47"/>
    </row>
    <row r="212" spans="1:9" ht="12.75">
      <c r="A212" s="48"/>
      <c r="B212" s="16" t="s">
        <v>162</v>
      </c>
      <c r="C212" s="16"/>
      <c r="D212" s="16"/>
      <c r="E212" s="16"/>
      <c r="F212" s="16"/>
      <c r="G212" s="16"/>
      <c r="H212" s="50"/>
      <c r="I212" s="47"/>
    </row>
    <row r="213" spans="1:9" ht="12.75">
      <c r="A213" s="48"/>
      <c r="B213" s="16" t="s">
        <v>163</v>
      </c>
      <c r="C213" s="16" t="s">
        <v>164</v>
      </c>
      <c r="D213" s="16"/>
      <c r="E213" s="16"/>
      <c r="F213" s="16"/>
      <c r="G213" s="16"/>
      <c r="H213" s="2">
        <f>+H102</f>
        <v>2588.05</v>
      </c>
      <c r="I213" s="47"/>
    </row>
    <row r="214" spans="1:9" ht="12.75">
      <c r="A214" s="48"/>
      <c r="B214" s="16"/>
      <c r="C214" s="16" t="s">
        <v>72</v>
      </c>
      <c r="D214" s="16"/>
      <c r="E214" s="16"/>
      <c r="F214" s="16"/>
      <c r="G214" s="16"/>
      <c r="H214" s="93">
        <f>+H86</f>
        <v>0</v>
      </c>
      <c r="I214" s="47"/>
    </row>
    <row r="215" spans="1:9" ht="12.75">
      <c r="A215" s="48"/>
      <c r="B215" s="16"/>
      <c r="C215" s="16" t="s">
        <v>94</v>
      </c>
      <c r="D215" s="16"/>
      <c r="E215" s="16"/>
      <c r="F215" s="16"/>
      <c r="G215" s="16"/>
      <c r="H215" s="53">
        <f>+H89</f>
        <v>0</v>
      </c>
      <c r="I215" s="47"/>
    </row>
    <row r="216" spans="1:14" ht="12.75">
      <c r="A216" s="45"/>
      <c r="B216" t="s">
        <v>100</v>
      </c>
      <c r="H216" s="94">
        <f>+H211-H213-H214-H215</f>
        <v>93788.26285714284</v>
      </c>
      <c r="I216" s="47"/>
      <c r="M216" s="16">
        <f>ROUND(H216,0)</f>
        <v>93788</v>
      </c>
      <c r="N216" t="s">
        <v>195</v>
      </c>
    </row>
    <row r="217" spans="1:14" ht="12.75">
      <c r="A217" s="45"/>
      <c r="B217" s="26" t="s">
        <v>355</v>
      </c>
      <c r="C217" s="27"/>
      <c r="D217" s="27"/>
      <c r="E217" s="27"/>
      <c r="F217" s="27"/>
      <c r="G217" s="27"/>
      <c r="H217" s="52">
        <f>+H216*0.15</f>
        <v>14068.239428571425</v>
      </c>
      <c r="I217" s="47"/>
      <c r="M217" s="30">
        <f>+H217</f>
        <v>14068.239428571425</v>
      </c>
      <c r="N217" t="s">
        <v>196</v>
      </c>
    </row>
    <row r="218" spans="1:14" ht="12.75">
      <c r="A218" s="45"/>
      <c r="B218" t="s">
        <v>107</v>
      </c>
      <c r="H218" s="53">
        <v>180</v>
      </c>
      <c r="I218" s="47"/>
      <c r="M218" s="30">
        <f>+H218</f>
        <v>180</v>
      </c>
      <c r="N218" t="s">
        <v>197</v>
      </c>
    </row>
    <row r="219" spans="1:9" ht="12.75">
      <c r="A219" s="45"/>
      <c r="B219" t="s">
        <v>108</v>
      </c>
      <c r="H219" s="51">
        <f>SUM(H217:H218)</f>
        <v>14248.239428571425</v>
      </c>
      <c r="I219" s="47"/>
    </row>
    <row r="220" spans="1:14" ht="12.75">
      <c r="A220" s="45"/>
      <c r="B220" t="s">
        <v>109</v>
      </c>
      <c r="H220" s="12">
        <v>0</v>
      </c>
      <c r="I220" s="47"/>
      <c r="M220" s="30">
        <f>+H220</f>
        <v>0</v>
      </c>
      <c r="N220" t="s">
        <v>198</v>
      </c>
    </row>
    <row r="221" spans="1:14" ht="13.5" thickBot="1">
      <c r="A221" s="45"/>
      <c r="B221" t="s">
        <v>110</v>
      </c>
      <c r="H221" s="40">
        <f>SUM(H219:H220)</f>
        <v>14248.239428571425</v>
      </c>
      <c r="I221" s="47"/>
      <c r="M221" s="30">
        <f>+H221</f>
        <v>14248.239428571425</v>
      </c>
      <c r="N221" t="s">
        <v>199</v>
      </c>
    </row>
    <row r="222" spans="1:9" ht="13.5" thickTop="1">
      <c r="A222" s="45"/>
      <c r="B222" s="45"/>
      <c r="C222" s="45"/>
      <c r="D222" s="45"/>
      <c r="E222" s="45"/>
      <c r="F222" s="45"/>
      <c r="G222" s="45"/>
      <c r="H222" s="49"/>
      <c r="I222" s="47"/>
    </row>
    <row r="223" spans="1:9" ht="12.75">
      <c r="A223" s="45"/>
      <c r="B223" s="45"/>
      <c r="C223" s="45"/>
      <c r="D223" s="45"/>
      <c r="E223" s="45"/>
      <c r="F223" s="45"/>
      <c r="G223" s="45"/>
      <c r="H223" s="46"/>
      <c r="I223" s="47"/>
    </row>
    <row r="224" spans="1:9" ht="12.75">
      <c r="A224" s="45"/>
      <c r="B224" s="45"/>
      <c r="C224" s="45"/>
      <c r="D224" s="45"/>
      <c r="E224" s="45"/>
      <c r="F224" s="45"/>
      <c r="G224" s="45"/>
      <c r="H224" s="46"/>
      <c r="I224" s="47"/>
    </row>
    <row r="225" spans="1:9" ht="12.75">
      <c r="A225" s="45"/>
      <c r="B225" s="45"/>
      <c r="C225" s="45"/>
      <c r="D225" s="45"/>
      <c r="E225" s="45"/>
      <c r="F225" s="45"/>
      <c r="G225" s="45"/>
      <c r="H225" s="46"/>
      <c r="I225" s="47"/>
    </row>
    <row r="226" spans="1:9" ht="12.75">
      <c r="A226" s="45"/>
      <c r="B226" s="45"/>
      <c r="C226" s="45"/>
      <c r="D226" s="45"/>
      <c r="E226" s="45"/>
      <c r="F226" s="45"/>
      <c r="G226" s="45"/>
      <c r="H226" s="44"/>
      <c r="I226" s="44"/>
    </row>
    <row r="227" spans="8:9" ht="12.75">
      <c r="H227" s="3"/>
      <c r="I227" s="3"/>
    </row>
    <row r="228" spans="8:9" ht="12.75">
      <c r="H228" s="3"/>
      <c r="I228" s="3"/>
    </row>
    <row r="230" spans="1:9" s="7" customFormat="1" ht="12.75">
      <c r="A230" s="7" t="str">
        <f>+A133</f>
        <v>Sample Super Funds</v>
      </c>
      <c r="H230" s="8"/>
      <c r="I230" s="8"/>
    </row>
    <row r="231" spans="1:9" s="7" customFormat="1" ht="12.75">
      <c r="A231" s="7" t="s">
        <v>340</v>
      </c>
      <c r="H231" s="9"/>
      <c r="I231" s="9"/>
    </row>
    <row r="233" spans="1:9" ht="42" customHeight="1">
      <c r="A233" s="85" t="s">
        <v>22</v>
      </c>
      <c r="B233" s="85"/>
      <c r="C233" s="85"/>
      <c r="D233" s="85"/>
      <c r="E233" s="85"/>
      <c r="F233" s="85"/>
      <c r="G233" s="85"/>
      <c r="H233" s="85"/>
      <c r="I233" s="85"/>
    </row>
    <row r="235" ht="12.75">
      <c r="A235" t="s">
        <v>23</v>
      </c>
    </row>
    <row r="237" spans="1:9" ht="42" customHeight="1">
      <c r="A237" s="85" t="s">
        <v>342</v>
      </c>
      <c r="B237" s="85"/>
      <c r="C237" s="85"/>
      <c r="D237" s="85"/>
      <c r="E237" s="85"/>
      <c r="F237" s="85"/>
      <c r="G237" s="85"/>
      <c r="H237" s="85"/>
      <c r="I237" s="85"/>
    </row>
    <row r="238" spans="1:9" ht="29.25" customHeight="1">
      <c r="A238" s="85" t="s">
        <v>24</v>
      </c>
      <c r="B238" s="85"/>
      <c r="C238" s="85"/>
      <c r="D238" s="85"/>
      <c r="E238" s="85"/>
      <c r="F238" s="85"/>
      <c r="G238" s="85"/>
      <c r="H238" s="85"/>
      <c r="I238" s="85"/>
    </row>
    <row r="239" spans="1:9" ht="42" customHeight="1">
      <c r="A239" s="85" t="s">
        <v>343</v>
      </c>
      <c r="B239" s="85"/>
      <c r="C239" s="85"/>
      <c r="D239" s="85"/>
      <c r="E239" s="85"/>
      <c r="F239" s="85"/>
      <c r="G239" s="85"/>
      <c r="H239" s="85"/>
      <c r="I239" s="85"/>
    </row>
    <row r="242" ht="12.75">
      <c r="A242" t="s">
        <v>25</v>
      </c>
    </row>
    <row r="247" ht="12.75">
      <c r="A247" t="s">
        <v>26</v>
      </c>
    </row>
    <row r="248" spans="2:4" ht="12.75">
      <c r="B248" t="s">
        <v>27</v>
      </c>
      <c r="D248" t="str">
        <f>+A4</f>
        <v>John Summers</v>
      </c>
    </row>
    <row r="251" ht="12.75">
      <c r="A251" t="s">
        <v>26</v>
      </c>
    </row>
    <row r="252" spans="2:4" ht="12.75">
      <c r="B252" t="s">
        <v>27</v>
      </c>
      <c r="D252" t="str">
        <f>A5</f>
        <v>Sarah Summers</v>
      </c>
    </row>
    <row r="257" ht="12.75">
      <c r="A257" t="s">
        <v>341</v>
      </c>
    </row>
  </sheetData>
  <sheetProtection/>
  <mergeCells count="23">
    <mergeCell ref="A172:I172"/>
    <mergeCell ref="A189:I189"/>
    <mergeCell ref="A138:I138"/>
    <mergeCell ref="A143:I143"/>
    <mergeCell ref="A148:I148"/>
    <mergeCell ref="A151:I151"/>
    <mergeCell ref="A158:I158"/>
    <mergeCell ref="A159:I159"/>
    <mergeCell ref="A168:I168"/>
    <mergeCell ref="A171:I171"/>
    <mergeCell ref="A175:I175"/>
    <mergeCell ref="A183:I183"/>
    <mergeCell ref="A186:I186"/>
    <mergeCell ref="A192:I192"/>
    <mergeCell ref="A237:I237"/>
    <mergeCell ref="A238:I238"/>
    <mergeCell ref="A239:I239"/>
    <mergeCell ref="A195:I195"/>
    <mergeCell ref="A198:I198"/>
    <mergeCell ref="A206:I206"/>
    <mergeCell ref="A233:I233"/>
    <mergeCell ref="A208:I208"/>
    <mergeCell ref="A207:I207"/>
  </mergeCells>
  <printOptions/>
  <pageMargins left="0.25" right="0.25" top="0.75" bottom="0.75" header="0.3" footer="0.3"/>
  <pageSetup horizontalDpi="300" verticalDpi="300" orientation="portrait" paperSize="9" r:id="rId2"/>
  <headerFooter alignWithMargins="0">
    <oddFooter>&amp;CPage &amp;P of &amp;N</oddFooter>
  </headerFooter>
  <rowBreaks count="7" manualBreakCount="7">
    <brk id="34" max="255" man="1"/>
    <brk id="80" max="8" man="1"/>
    <brk id="131" max="8" man="1"/>
    <brk id="152" max="8" man="1"/>
    <brk id="176" max="8" man="1"/>
    <brk id="199" max="8" man="1"/>
    <brk id="228" max="8"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63"/>
  <sheetViews>
    <sheetView zoomScale="80" zoomScaleNormal="80" zoomScalePageLayoutView="0" workbookViewId="0" topLeftCell="A1">
      <selection activeCell="J25" sqref="J25"/>
    </sheetView>
  </sheetViews>
  <sheetFormatPr defaultColWidth="9.140625" defaultRowHeight="12.75"/>
  <cols>
    <col min="1" max="1" width="3.8515625" style="0" customWidth="1"/>
    <col min="2" max="2" width="25.421875" style="0" customWidth="1"/>
    <col min="3" max="3" width="11.00390625" style="0" bestFit="1" customWidth="1"/>
    <col min="4" max="4" width="14.421875" style="0" customWidth="1"/>
    <col min="5" max="5" width="14.00390625" style="0" customWidth="1"/>
    <col min="6" max="6" width="12.28125" style="0" bestFit="1" customWidth="1"/>
    <col min="8" max="8" width="12.28125" style="0" bestFit="1" customWidth="1"/>
    <col min="9" max="9" width="11.28125" style="0" bestFit="1" customWidth="1"/>
  </cols>
  <sheetData>
    <row r="1" ht="12.75">
      <c r="A1" s="7" t="str">
        <f>+'Financial Statements'!A2</f>
        <v>Sample Super Funds</v>
      </c>
    </row>
    <row r="2" ht="12.75">
      <c r="A2" s="7" t="s">
        <v>79</v>
      </c>
    </row>
    <row r="3" spans="1:2" ht="12.75">
      <c r="A3" s="87" t="s">
        <v>346</v>
      </c>
      <c r="B3" s="88"/>
    </row>
    <row r="5" ht="12.75">
      <c r="A5" s="15" t="str">
        <f>+'Financial Statements'!A4</f>
        <v>John Summers</v>
      </c>
    </row>
    <row r="6" spans="3:6" s="13" customFormat="1" ht="50.25" customHeight="1">
      <c r="C6" s="31" t="s">
        <v>86</v>
      </c>
      <c r="D6" s="31" t="s">
        <v>323</v>
      </c>
      <c r="E6" s="31" t="s">
        <v>88</v>
      </c>
      <c r="F6" s="31" t="s">
        <v>11</v>
      </c>
    </row>
    <row r="7" s="13" customFormat="1" ht="12.75">
      <c r="A7" s="13" t="s">
        <v>87</v>
      </c>
    </row>
    <row r="8" spans="2:6" s="13" customFormat="1" ht="12.75">
      <c r="B8" s="13" t="s">
        <v>80</v>
      </c>
      <c r="C8" s="13">
        <v>183118</v>
      </c>
      <c r="D8" s="13">
        <f>50000-0.15*50000</f>
        <v>42500</v>
      </c>
      <c r="E8" s="13">
        <f>+$D$40*C11/$C$32</f>
        <v>20562.44761466073</v>
      </c>
      <c r="F8" s="13">
        <f>SUM(C8:E8)</f>
        <v>246180.44761466072</v>
      </c>
    </row>
    <row r="9" s="13" customFormat="1" ht="12.75">
      <c r="B9" s="13" t="s">
        <v>81</v>
      </c>
    </row>
    <row r="10" s="13" customFormat="1" ht="12.75">
      <c r="B10" s="13" t="s">
        <v>82</v>
      </c>
    </row>
    <row r="11" spans="3:6" s="13" customFormat="1" ht="13.5" thickBot="1">
      <c r="C11" s="14">
        <f>SUM(C8:C10)</f>
        <v>183118</v>
      </c>
      <c r="D11" s="14">
        <f>SUM(D8:D10)</f>
        <v>42500</v>
      </c>
      <c r="E11" s="14">
        <f>SUM(E8:E10)</f>
        <v>20562.44761466073</v>
      </c>
      <c r="F11" s="14">
        <f>SUM(F8:F10)</f>
        <v>246180.44761466072</v>
      </c>
    </row>
    <row r="12" s="13" customFormat="1" ht="13.5" thickTop="1">
      <c r="A12" s="13" t="s">
        <v>83</v>
      </c>
    </row>
    <row r="13" s="13" customFormat="1" ht="12.75">
      <c r="B13" s="13" t="s">
        <v>84</v>
      </c>
    </row>
    <row r="14" spans="2:6" s="13" customFormat="1" ht="12.75">
      <c r="B14" s="13" t="s">
        <v>85</v>
      </c>
      <c r="C14" s="13">
        <f>+C8</f>
        <v>183118</v>
      </c>
      <c r="D14" s="13">
        <f>+D8</f>
        <v>42500</v>
      </c>
      <c r="E14" s="13">
        <f>+$E$11*C14/$C$15</f>
        <v>20562.44761466073</v>
      </c>
      <c r="F14" s="13">
        <f>SUM(C14:E14)</f>
        <v>246180.44761466072</v>
      </c>
    </row>
    <row r="15" spans="3:6" s="13" customFormat="1" ht="13.5" thickBot="1">
      <c r="C15" s="14">
        <f>SUM(C13:C14)</f>
        <v>183118</v>
      </c>
      <c r="D15" s="14">
        <f>SUM(D13:D14)</f>
        <v>42500</v>
      </c>
      <c r="E15" s="14">
        <f>SUM(E13:E14)</f>
        <v>20562.44761466073</v>
      </c>
      <c r="F15" s="14">
        <f>SUM(C15:E15)</f>
        <v>246180.44761466072</v>
      </c>
    </row>
    <row r="16" s="13" customFormat="1" ht="13.5" thickTop="1"/>
    <row r="17" ht="12.75">
      <c r="A17" s="15" t="str">
        <f>+'Financial Statements'!A5</f>
        <v>Sarah Summers</v>
      </c>
    </row>
    <row r="18" spans="3:6" s="13" customFormat="1" ht="38.25">
      <c r="C18" s="31" t="s">
        <v>86</v>
      </c>
      <c r="D18" s="31" t="s">
        <v>323</v>
      </c>
      <c r="E18" s="31" t="s">
        <v>88</v>
      </c>
      <c r="F18" s="31" t="s">
        <v>11</v>
      </c>
    </row>
    <row r="19" s="13" customFormat="1" ht="12.75">
      <c r="A19" s="13" t="s">
        <v>87</v>
      </c>
    </row>
    <row r="20" spans="2:6" s="13" customFormat="1" ht="12.75">
      <c r="B20" s="13" t="s">
        <v>80</v>
      </c>
      <c r="C20" s="13">
        <v>171400</v>
      </c>
      <c r="D20" s="13">
        <f>-'Financial Statements'!H114</f>
        <v>0</v>
      </c>
      <c r="E20" s="13">
        <f>+$D$40*C23/$C$32</f>
        <v>19246.625242482165</v>
      </c>
      <c r="F20" s="13">
        <f>SUM(C20:E20)</f>
        <v>190646.62524248217</v>
      </c>
    </row>
    <row r="21" s="13" customFormat="1" ht="12.75">
      <c r="B21" s="13" t="s">
        <v>81</v>
      </c>
    </row>
    <row r="22" s="13" customFormat="1" ht="12.75">
      <c r="B22" s="13" t="s">
        <v>82</v>
      </c>
    </row>
    <row r="23" spans="3:6" s="13" customFormat="1" ht="13.5" thickBot="1">
      <c r="C23" s="14">
        <f>SUM(C20:C22)</f>
        <v>171400</v>
      </c>
      <c r="D23" s="14">
        <f>SUM(D20:D22)</f>
        <v>0</v>
      </c>
      <c r="E23" s="14">
        <f>SUM(E20:E22)</f>
        <v>19246.625242482165</v>
      </c>
      <c r="F23" s="14">
        <f>SUM(F20:F22)</f>
        <v>190646.62524248217</v>
      </c>
    </row>
    <row r="24" s="13" customFormat="1" ht="13.5" thickTop="1">
      <c r="A24" s="13" t="s">
        <v>83</v>
      </c>
    </row>
    <row r="25" s="13" customFormat="1" ht="12.75">
      <c r="B25" s="13" t="s">
        <v>84</v>
      </c>
    </row>
    <row r="26" spans="2:6" s="13" customFormat="1" ht="12.75">
      <c r="B26" s="13" t="s">
        <v>85</v>
      </c>
      <c r="C26" s="13">
        <f>+C20</f>
        <v>171400</v>
      </c>
      <c r="D26" s="13">
        <f>+D20</f>
        <v>0</v>
      </c>
      <c r="E26" s="13">
        <f>+E20</f>
        <v>19246.625242482165</v>
      </c>
      <c r="F26" s="13">
        <f>SUM(C26:E26)</f>
        <v>190646.62524248217</v>
      </c>
    </row>
    <row r="27" spans="3:6" s="13" customFormat="1" ht="13.5" thickBot="1">
      <c r="C27" s="14">
        <f>SUM(C25:C26)</f>
        <v>171400</v>
      </c>
      <c r="D27" s="14">
        <f>SUM(D25:D26)</f>
        <v>0</v>
      </c>
      <c r="E27" s="14">
        <f>SUM(E25:E26)</f>
        <v>19246.625242482165</v>
      </c>
      <c r="F27" s="14">
        <f>SUM(C27:E27)</f>
        <v>190646.62524248217</v>
      </c>
    </row>
    <row r="28" ht="13.5" thickTop="1"/>
    <row r="32" spans="1:6" ht="12.75">
      <c r="A32" s="15" t="s">
        <v>89</v>
      </c>
      <c r="C32" s="13">
        <f>+C27+C15</f>
        <v>354518</v>
      </c>
      <c r="D32" s="13">
        <f>+D27+D15</f>
        <v>42500</v>
      </c>
      <c r="E32" s="13">
        <f>+E27+E15</f>
        <v>39809.07285714289</v>
      </c>
      <c r="F32" s="13">
        <f>SUM(C32:E32)</f>
        <v>436827.0728571429</v>
      </c>
    </row>
    <row r="33" spans="2:6" ht="12.75">
      <c r="B33" t="s">
        <v>90</v>
      </c>
      <c r="F33" s="16">
        <f>+'Financial Statements'!H70</f>
        <v>436827.0728571429</v>
      </c>
    </row>
    <row r="34" spans="2:6" ht="12.75">
      <c r="B34" t="s">
        <v>91</v>
      </c>
      <c r="F34" s="13">
        <f>+F32-F33</f>
        <v>0</v>
      </c>
    </row>
    <row r="35" ht="12.75">
      <c r="F35" s="13"/>
    </row>
    <row r="36" spans="1:6" ht="12.75">
      <c r="A36" s="15" t="s">
        <v>111</v>
      </c>
      <c r="F36" s="13"/>
    </row>
    <row r="37" spans="1:8" ht="12.75">
      <c r="A37" s="15"/>
      <c r="B37" t="s">
        <v>112</v>
      </c>
      <c r="D37" s="16">
        <f>-C32</f>
        <v>-354518</v>
      </c>
      <c r="F37" s="13"/>
      <c r="H37" s="16"/>
    </row>
    <row r="38" spans="2:9" ht="12.75">
      <c r="B38" t="s">
        <v>113</v>
      </c>
      <c r="D38" s="16">
        <f>F33</f>
        <v>436827.0728571429</v>
      </c>
      <c r="H38" s="16"/>
      <c r="I38" s="29"/>
    </row>
    <row r="39" spans="2:8" ht="27" customHeight="1">
      <c r="B39" s="86" t="s">
        <v>324</v>
      </c>
      <c r="C39" s="86"/>
      <c r="D39" s="13">
        <f>-D32</f>
        <v>-42500</v>
      </c>
      <c r="H39" s="13"/>
    </row>
    <row r="40" spans="2:9" ht="13.5" thickBot="1">
      <c r="B40" t="s">
        <v>114</v>
      </c>
      <c r="D40" s="17">
        <f>SUM(D37:D39)</f>
        <v>39809.07285714289</v>
      </c>
      <c r="H40" s="29"/>
      <c r="I40" s="29"/>
    </row>
    <row r="41" ht="13.5" thickTop="1"/>
    <row r="42" spans="4:5" ht="12.75">
      <c r="D42" s="13">
        <f>-D39+E32</f>
        <v>82309.07285714289</v>
      </c>
      <c r="E42" s="13"/>
    </row>
    <row r="55" spans="4:9" ht="12.75">
      <c r="D55" s="30"/>
      <c r="E55" s="30"/>
      <c r="F55" s="30"/>
      <c r="G55" s="30"/>
      <c r="H55" s="30"/>
      <c r="I55" s="30"/>
    </row>
    <row r="56" spans="4:9" ht="12.75">
      <c r="D56" s="30"/>
      <c r="E56" s="30"/>
      <c r="F56" s="30"/>
      <c r="G56" s="30"/>
      <c r="H56" s="30"/>
      <c r="I56" s="30"/>
    </row>
    <row r="57" spans="4:9" ht="12.75">
      <c r="D57" s="30"/>
      <c r="E57" s="30"/>
      <c r="F57" s="30"/>
      <c r="G57" s="30"/>
      <c r="H57" s="30"/>
      <c r="I57" s="30"/>
    </row>
    <row r="58" spans="4:9" ht="12.75">
      <c r="D58" s="30"/>
      <c r="E58" s="30"/>
      <c r="F58" s="30"/>
      <c r="G58" s="30"/>
      <c r="H58" s="30"/>
      <c r="I58" s="30"/>
    </row>
    <row r="59" spans="4:9" ht="12.75">
      <c r="D59" s="30"/>
      <c r="E59" s="30"/>
      <c r="F59" s="30"/>
      <c r="G59" s="30"/>
      <c r="H59" s="30"/>
      <c r="I59" s="30"/>
    </row>
    <row r="60" spans="3:9" ht="12.75">
      <c r="C60" s="30"/>
      <c r="D60" s="30"/>
      <c r="E60" s="30"/>
      <c r="F60" s="30"/>
      <c r="G60" s="30"/>
      <c r="H60" s="30"/>
      <c r="I60" s="30"/>
    </row>
    <row r="61" spans="3:9" ht="12.75">
      <c r="C61" s="30"/>
      <c r="D61" s="30"/>
      <c r="E61" s="30"/>
      <c r="F61" s="30"/>
      <c r="G61" s="30"/>
      <c r="H61" s="30"/>
      <c r="I61" s="30"/>
    </row>
    <row r="62" spans="3:9" ht="12.75">
      <c r="C62" s="30"/>
      <c r="D62" s="30"/>
      <c r="E62" s="30"/>
      <c r="F62" s="30"/>
      <c r="G62" s="30"/>
      <c r="H62" s="30"/>
      <c r="I62" s="30"/>
    </row>
    <row r="63" spans="3:9" ht="12.75">
      <c r="C63" s="30"/>
      <c r="D63" s="30"/>
      <c r="E63" s="30"/>
      <c r="F63" s="30"/>
      <c r="G63" s="30"/>
      <c r="H63" s="30"/>
      <c r="I63" s="30"/>
    </row>
  </sheetData>
  <sheetProtection/>
  <mergeCells count="2">
    <mergeCell ref="A3:B3"/>
    <mergeCell ref="B39:C39"/>
  </mergeCells>
  <printOptions/>
  <pageMargins left="0.75" right="0.75" top="1" bottom="1" header="0.5" footer="0.5"/>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2"/>
  <sheetViews>
    <sheetView zoomScalePageLayoutView="0" workbookViewId="0" topLeftCell="A7">
      <selection activeCell="K77" sqref="K77"/>
    </sheetView>
  </sheetViews>
  <sheetFormatPr defaultColWidth="9.140625" defaultRowHeight="12.75"/>
  <cols>
    <col min="1" max="1" width="5.421875" style="0" customWidth="1"/>
  </cols>
  <sheetData>
    <row r="1" ht="12.75">
      <c r="A1" s="15" t="str">
        <f>+'Financial Statements'!A2</f>
        <v>Sample Super Funds</v>
      </c>
    </row>
    <row r="2" ht="12.75">
      <c r="A2" t="s">
        <v>117</v>
      </c>
    </row>
    <row r="4" ht="12.75">
      <c r="A4" s="7" t="s">
        <v>118</v>
      </c>
    </row>
    <row r="6" ht="12.75">
      <c r="A6" s="18" t="s">
        <v>119</v>
      </c>
    </row>
    <row r="7" ht="12.75">
      <c r="B7" t="str">
        <f>+'Financial Statements'!A4</f>
        <v>John Summers</v>
      </c>
    </row>
    <row r="8" ht="12.75">
      <c r="B8" t="str">
        <f>+'Financial Statements'!A5</f>
        <v>Sarah Summers</v>
      </c>
    </row>
    <row r="10" ht="12.75">
      <c r="A10" s="18" t="s">
        <v>120</v>
      </c>
    </row>
    <row r="11" spans="1:2" ht="12.75">
      <c r="A11" s="18"/>
      <c r="B11" t="str">
        <f>+B7</f>
        <v>John Summers</v>
      </c>
    </row>
    <row r="13" ht="12.75">
      <c r="A13" s="18" t="s">
        <v>121</v>
      </c>
    </row>
    <row r="14" spans="2:9" ht="12.75">
      <c r="B14" s="86" t="s">
        <v>122</v>
      </c>
      <c r="C14" s="86"/>
      <c r="D14" s="86"/>
      <c r="E14" s="86"/>
      <c r="F14" s="86"/>
      <c r="G14" s="86"/>
      <c r="H14" s="86"/>
      <c r="I14" s="86"/>
    </row>
    <row r="15" spans="2:9" ht="12.75">
      <c r="B15" s="86"/>
      <c r="C15" s="86"/>
      <c r="D15" s="86"/>
      <c r="E15" s="86"/>
      <c r="F15" s="86"/>
      <c r="G15" s="86"/>
      <c r="H15" s="86"/>
      <c r="I15" s="86"/>
    </row>
    <row r="17" ht="12.75">
      <c r="A17" s="18" t="s">
        <v>123</v>
      </c>
    </row>
    <row r="18" spans="2:9" ht="12.75">
      <c r="B18" s="86" t="s">
        <v>347</v>
      </c>
      <c r="C18" s="86"/>
      <c r="D18" s="86"/>
      <c r="E18" s="86"/>
      <c r="F18" s="86"/>
      <c r="G18" s="86"/>
      <c r="H18" s="86"/>
      <c r="I18" s="86"/>
    </row>
    <row r="19" spans="2:9" ht="12.75">
      <c r="B19" s="86"/>
      <c r="C19" s="86"/>
      <c r="D19" s="86"/>
      <c r="E19" s="86"/>
      <c r="F19" s="86"/>
      <c r="G19" s="86"/>
      <c r="H19" s="86"/>
      <c r="I19" s="86"/>
    </row>
    <row r="21" ht="12.75">
      <c r="A21" s="18" t="s">
        <v>124</v>
      </c>
    </row>
    <row r="22" spans="1:9" ht="12.75">
      <c r="A22" s="18"/>
      <c r="B22" s="86" t="s">
        <v>125</v>
      </c>
      <c r="C22" s="86"/>
      <c r="D22" s="86"/>
      <c r="E22" s="86"/>
      <c r="F22" s="86"/>
      <c r="G22" s="86"/>
      <c r="H22" s="86"/>
      <c r="I22" s="86"/>
    </row>
    <row r="23" spans="2:9" ht="12.75">
      <c r="B23" s="86"/>
      <c r="C23" s="86"/>
      <c r="D23" s="86"/>
      <c r="E23" s="86"/>
      <c r="F23" s="86"/>
      <c r="G23" s="86"/>
      <c r="H23" s="86"/>
      <c r="I23" s="86"/>
    </row>
    <row r="25" ht="12.75">
      <c r="A25" s="18" t="s">
        <v>126</v>
      </c>
    </row>
    <row r="26" spans="2:9" ht="12.75">
      <c r="B26" s="86" t="s">
        <v>127</v>
      </c>
      <c r="C26" s="86"/>
      <c r="D26" s="86"/>
      <c r="E26" s="86"/>
      <c r="F26" s="86"/>
      <c r="G26" s="86"/>
      <c r="H26" s="86"/>
      <c r="I26" s="86"/>
    </row>
    <row r="27" spans="2:9" ht="12.75">
      <c r="B27" s="86"/>
      <c r="C27" s="86"/>
      <c r="D27" s="86"/>
      <c r="E27" s="86"/>
      <c r="F27" s="86"/>
      <c r="G27" s="86"/>
      <c r="H27" s="86"/>
      <c r="I27" s="86"/>
    </row>
    <row r="29" ht="12.75">
      <c r="A29" s="18" t="s">
        <v>128</v>
      </c>
    </row>
    <row r="30" spans="2:9" ht="12.75">
      <c r="B30" s="86" t="s">
        <v>129</v>
      </c>
      <c r="C30" s="86"/>
      <c r="D30" s="86"/>
      <c r="E30" s="86"/>
      <c r="F30" s="86"/>
      <c r="G30" s="86"/>
      <c r="H30" s="86"/>
      <c r="I30" s="86"/>
    </row>
    <row r="31" spans="2:9" ht="12.75">
      <c r="B31" s="86"/>
      <c r="C31" s="86"/>
      <c r="D31" s="86"/>
      <c r="E31" s="86"/>
      <c r="F31" s="86"/>
      <c r="G31" s="86"/>
      <c r="H31" s="86"/>
      <c r="I31" s="86"/>
    </row>
    <row r="33" ht="12.75">
      <c r="A33" s="18" t="s">
        <v>241</v>
      </c>
    </row>
    <row r="34" spans="2:9" ht="12.75">
      <c r="B34" s="86" t="s">
        <v>242</v>
      </c>
      <c r="C34" s="86"/>
      <c r="D34" s="86"/>
      <c r="E34" s="86"/>
      <c r="F34" s="86"/>
      <c r="G34" s="86"/>
      <c r="H34" s="86"/>
      <c r="I34" s="86"/>
    </row>
    <row r="35" spans="2:9" ht="12.75">
      <c r="B35" s="86"/>
      <c r="C35" s="86"/>
      <c r="D35" s="86"/>
      <c r="E35" s="86"/>
      <c r="F35" s="86"/>
      <c r="G35" s="86"/>
      <c r="H35" s="86"/>
      <c r="I35" s="86"/>
    </row>
    <row r="36" spans="2:9" ht="12.75">
      <c r="B36" s="86"/>
      <c r="C36" s="86"/>
      <c r="D36" s="86"/>
      <c r="E36" s="86"/>
      <c r="F36" s="86"/>
      <c r="G36" s="86"/>
      <c r="H36" s="86"/>
      <c r="I36" s="86"/>
    </row>
    <row r="38" ht="12.75">
      <c r="A38" s="18" t="s">
        <v>130</v>
      </c>
    </row>
    <row r="39" ht="12.75">
      <c r="B39" t="s">
        <v>131</v>
      </c>
    </row>
    <row r="44" spans="1:9" ht="12.75">
      <c r="A44" s="19"/>
      <c r="B44" s="19"/>
      <c r="C44" s="19"/>
      <c r="D44" s="19"/>
      <c r="F44" s="19"/>
      <c r="G44" s="19"/>
      <c r="H44" s="19"/>
      <c r="I44" s="19"/>
    </row>
    <row r="45" spans="1:6" ht="12.75">
      <c r="A45" t="str">
        <f>+B7</f>
        <v>John Summers</v>
      </c>
      <c r="F45" t="str">
        <f>+B8</f>
        <v>Sarah Summers</v>
      </c>
    </row>
    <row r="48" ht="12.75">
      <c r="A48" t="s">
        <v>132</v>
      </c>
    </row>
    <row r="52" ht="12.75">
      <c r="A52" t="s">
        <v>133</v>
      </c>
    </row>
  </sheetData>
  <sheetProtection/>
  <mergeCells count="6">
    <mergeCell ref="B34:I36"/>
    <mergeCell ref="B30:I31"/>
    <mergeCell ref="B14:I15"/>
    <mergeCell ref="B18:I19"/>
    <mergeCell ref="B22:I23"/>
    <mergeCell ref="B26:I27"/>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32"/>
  <sheetViews>
    <sheetView zoomScalePageLayoutView="0" workbookViewId="0" topLeftCell="A1">
      <selection activeCell="D11" sqref="D11"/>
    </sheetView>
  </sheetViews>
  <sheetFormatPr defaultColWidth="9.140625" defaultRowHeight="12.75"/>
  <cols>
    <col min="1" max="1" width="32.00390625" style="34" customWidth="1"/>
    <col min="2" max="2" width="10.421875" style="33" bestFit="1" customWidth="1"/>
    <col min="3" max="3" width="9.8515625" style="33" bestFit="1" customWidth="1"/>
    <col min="4" max="4" width="9.28125" style="33" bestFit="1" customWidth="1"/>
    <col min="5" max="5" width="10.00390625" style="33" bestFit="1" customWidth="1"/>
    <col min="6" max="12" width="9.140625" style="33" customWidth="1"/>
    <col min="13" max="16384" width="9.140625" style="34" customWidth="1"/>
  </cols>
  <sheetData>
    <row r="1" ht="12.75">
      <c r="A1" s="34" t="s">
        <v>269</v>
      </c>
    </row>
    <row r="2" ht="12.75">
      <c r="A2" s="32" t="s">
        <v>135</v>
      </c>
    </row>
    <row r="4" spans="1:2" ht="12.75">
      <c r="A4" s="34" t="s">
        <v>348</v>
      </c>
      <c r="B4" s="33">
        <f>+'Financial Statements'!I53</f>
        <v>208</v>
      </c>
    </row>
    <row r="5" spans="1:2" ht="12.75">
      <c r="A5" s="35" t="s">
        <v>268</v>
      </c>
      <c r="B5" s="33">
        <f>-B4</f>
        <v>-208</v>
      </c>
    </row>
    <row r="6" spans="1:2" ht="13.5" thickBot="1">
      <c r="A6" s="34" t="s">
        <v>349</v>
      </c>
      <c r="B6" s="36">
        <f>SUM(B4:B5)</f>
        <v>0</v>
      </c>
    </row>
    <row r="8" ht="12.75">
      <c r="A8" s="32" t="s">
        <v>271</v>
      </c>
    </row>
    <row r="10" spans="1:2" ht="12.75">
      <c r="A10" s="34" t="s">
        <v>348</v>
      </c>
      <c r="B10" s="33">
        <f>+'Financial Statements'!I65</f>
        <v>4069</v>
      </c>
    </row>
    <row r="11" spans="1:2" ht="12.75">
      <c r="A11" s="34" t="s">
        <v>272</v>
      </c>
      <c r="B11" s="33">
        <f>+GETPIVOTDATA("Transaction value",Bank!$F$16,"Description","Accounting Fees")</f>
        <v>-8685</v>
      </c>
    </row>
    <row r="12" spans="1:2" ht="13.5" thickBot="1">
      <c r="A12" s="34" t="s">
        <v>273</v>
      </c>
      <c r="B12" s="36">
        <f>SUM(B10:B11)</f>
        <v>-4616</v>
      </c>
    </row>
    <row r="16" ht="12.75">
      <c r="A16" s="32" t="s">
        <v>275</v>
      </c>
    </row>
    <row r="18" spans="1:2" ht="12.75">
      <c r="A18" s="34" t="s">
        <v>348</v>
      </c>
      <c r="B18" s="33">
        <f>-'Financial Statements'!I64</f>
        <v>814</v>
      </c>
    </row>
    <row r="19" spans="1:2" ht="12.75">
      <c r="A19" s="34" t="s">
        <v>146</v>
      </c>
      <c r="B19" s="33">
        <f>-GETPIVOTDATA("Transaction value",Bank!$F$16,"Description","Tax Refund")</f>
        <v>-828.89</v>
      </c>
    </row>
    <row r="20" spans="1:3" ht="13.5" thickBot="1">
      <c r="A20" s="34" t="s">
        <v>349</v>
      </c>
      <c r="B20" s="36">
        <f>SUM(B18:B19)</f>
        <v>-14.889999999999986</v>
      </c>
      <c r="C20" s="33" t="s">
        <v>70</v>
      </c>
    </row>
    <row r="25" ht="12.75">
      <c r="A25" s="32" t="s">
        <v>138</v>
      </c>
    </row>
    <row r="27" spans="1:2" ht="12.75">
      <c r="A27" s="34" t="s">
        <v>149</v>
      </c>
      <c r="B27" s="33">
        <v>0</v>
      </c>
    </row>
    <row r="28" spans="1:2" ht="12.75">
      <c r="A28" s="34" t="s">
        <v>150</v>
      </c>
      <c r="B28" s="33">
        <f>B5</f>
        <v>-208</v>
      </c>
    </row>
    <row r="29" spans="1:2" ht="13.5" thickBot="1">
      <c r="A29" s="37" t="s">
        <v>151</v>
      </c>
      <c r="B29" s="36">
        <f>B27+B28</f>
        <v>-208</v>
      </c>
    </row>
    <row r="32" ht="12.75">
      <c r="A32" s="34" t="s">
        <v>251</v>
      </c>
    </row>
  </sheetData>
  <sheetProtection/>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I37"/>
  <sheetViews>
    <sheetView zoomScale="90" zoomScaleNormal="90" zoomScalePageLayoutView="0" workbookViewId="0" topLeftCell="A1">
      <selection activeCell="E23" sqref="E23"/>
    </sheetView>
  </sheetViews>
  <sheetFormatPr defaultColWidth="9.140625" defaultRowHeight="12.75" customHeight="1"/>
  <cols>
    <col min="1" max="1" width="21.28125" style="76" customWidth="1"/>
    <col min="2" max="2" width="6.140625" style="76" bestFit="1" customWidth="1"/>
    <col min="3" max="3" width="11.00390625" style="76" bestFit="1" customWidth="1"/>
    <col min="4" max="4" width="10.00390625" style="76" bestFit="1" customWidth="1"/>
    <col min="5" max="5" width="11.00390625" style="76" bestFit="1" customWidth="1"/>
    <col min="6" max="7" width="9.140625" style="76" customWidth="1"/>
    <col min="8" max="8" width="10.00390625" style="76" bestFit="1" customWidth="1"/>
    <col min="9" max="9" width="10.421875" style="76" customWidth="1"/>
    <col min="10" max="16384" width="9.140625" style="76" customWidth="1"/>
  </cols>
  <sheetData>
    <row r="1" spans="1:3" ht="12.75" customHeight="1" thickBot="1">
      <c r="A1" s="78" t="s">
        <v>280</v>
      </c>
      <c r="B1" s="78"/>
      <c r="C1" s="78"/>
    </row>
    <row r="2" spans="1:9" ht="12.75" customHeight="1" thickBot="1">
      <c r="A2" s="78" t="s">
        <v>281</v>
      </c>
      <c r="B2" s="78" t="s">
        <v>309</v>
      </c>
      <c r="C2" s="79">
        <v>2014</v>
      </c>
      <c r="G2" s="82" t="s">
        <v>317</v>
      </c>
      <c r="H2" s="83"/>
      <c r="I2" s="84"/>
    </row>
    <row r="3" spans="1:9" ht="12.75" customHeight="1">
      <c r="A3" s="78"/>
      <c r="B3" s="78"/>
      <c r="C3" s="78"/>
      <c r="G3" s="76" t="s">
        <v>98</v>
      </c>
      <c r="H3" s="76" t="s">
        <v>318</v>
      </c>
      <c r="I3" s="76" t="s">
        <v>144</v>
      </c>
    </row>
    <row r="4" spans="1:6" ht="12.75" customHeight="1">
      <c r="A4" s="76" t="s">
        <v>282</v>
      </c>
      <c r="C4" s="76">
        <v>840</v>
      </c>
      <c r="D4" s="76">
        <v>2100</v>
      </c>
      <c r="E4" s="76">
        <v>767</v>
      </c>
      <c r="F4" s="76">
        <f>+E4/D4</f>
        <v>0.36523809523809525</v>
      </c>
    </row>
    <row r="5" spans="1:6" ht="12.75" customHeight="1">
      <c r="A5" s="76" t="s">
        <v>283</v>
      </c>
      <c r="C5" s="76">
        <v>5634</v>
      </c>
      <c r="D5" s="76">
        <v>242</v>
      </c>
      <c r="E5" s="76">
        <v>6200</v>
      </c>
      <c r="F5" s="76">
        <f>+E5/D5</f>
        <v>25.619834710743802</v>
      </c>
    </row>
    <row r="6" spans="1:9" ht="12.75" customHeight="1">
      <c r="A6" s="76" t="s">
        <v>252</v>
      </c>
      <c r="C6" s="76">
        <v>10272</v>
      </c>
      <c r="G6" s="81">
        <v>40728</v>
      </c>
      <c r="H6" s="76">
        <f>5531.95+5533.01</f>
        <v>11064.96</v>
      </c>
      <c r="I6" s="76">
        <f>+H6-C6</f>
        <v>792.9599999999991</v>
      </c>
    </row>
    <row r="7" spans="1:6" ht="12.75" customHeight="1">
      <c r="A7" s="76" t="s">
        <v>284</v>
      </c>
      <c r="C7" s="76">
        <v>16360</v>
      </c>
      <c r="D7" s="76">
        <v>2000</v>
      </c>
      <c r="E7" s="76">
        <v>17720</v>
      </c>
      <c r="F7" s="76">
        <f>+E7/D7</f>
        <v>8.86</v>
      </c>
    </row>
    <row r="8" spans="1:7" ht="12.75" customHeight="1">
      <c r="A8" s="76" t="s">
        <v>285</v>
      </c>
      <c r="C8" s="76">
        <v>5200</v>
      </c>
      <c r="D8" s="76">
        <v>1600</v>
      </c>
      <c r="E8" s="76">
        <v>4624</v>
      </c>
      <c r="F8" s="76">
        <f>+E8/D8</f>
        <v>2.89</v>
      </c>
      <c r="G8" s="81"/>
    </row>
    <row r="9" spans="1:9" ht="12.75" customHeight="1">
      <c r="A9" s="76" t="s">
        <v>286</v>
      </c>
      <c r="C9" s="76">
        <v>8457</v>
      </c>
      <c r="G9" s="76" t="s">
        <v>313</v>
      </c>
      <c r="H9" s="76">
        <v>7543.29</v>
      </c>
      <c r="I9" s="76">
        <f aca="true" t="shared" si="0" ref="I9:I21">+H9-C9</f>
        <v>-913.71</v>
      </c>
    </row>
    <row r="10" spans="1:9" ht="12.75" customHeight="1">
      <c r="A10" s="76" t="s">
        <v>145</v>
      </c>
      <c r="C10" s="76">
        <v>3834</v>
      </c>
      <c r="G10" s="76" t="s">
        <v>315</v>
      </c>
      <c r="H10" s="76">
        <v>3781.65</v>
      </c>
      <c r="I10" s="76">
        <f t="shared" si="0"/>
        <v>-52.34999999999991</v>
      </c>
    </row>
    <row r="11" spans="1:6" ht="12.75" customHeight="1">
      <c r="A11" s="76" t="s">
        <v>287</v>
      </c>
      <c r="C11" s="76">
        <v>3080</v>
      </c>
      <c r="D11" s="76">
        <v>7701</v>
      </c>
      <c r="E11" s="76">
        <v>1540</v>
      </c>
      <c r="F11" s="76">
        <f>+E11/D11</f>
        <v>0.19997402934683808</v>
      </c>
    </row>
    <row r="12" spans="1:9" ht="12.75" customHeight="1">
      <c r="A12" s="76" t="s">
        <v>288</v>
      </c>
      <c r="C12" s="76">
        <v>366</v>
      </c>
      <c r="G12" s="81">
        <v>40668</v>
      </c>
      <c r="H12" s="76">
        <v>1129.44</v>
      </c>
      <c r="I12" s="76">
        <f t="shared" si="0"/>
        <v>763.44</v>
      </c>
    </row>
    <row r="13" spans="1:9" ht="12.75" customHeight="1">
      <c r="A13" s="76" t="s">
        <v>289</v>
      </c>
      <c r="C13" s="76">
        <v>7019</v>
      </c>
      <c r="G13" s="76" t="s">
        <v>316</v>
      </c>
      <c r="H13" s="76">
        <v>8251.22</v>
      </c>
      <c r="I13" s="76">
        <f t="shared" si="0"/>
        <v>1232.2199999999993</v>
      </c>
    </row>
    <row r="14" spans="1:9" ht="12.75" customHeight="1">
      <c r="A14" s="76" t="s">
        <v>290</v>
      </c>
      <c r="C14" s="76">
        <v>800</v>
      </c>
      <c r="G14" s="76" t="s">
        <v>313</v>
      </c>
      <c r="H14" s="76">
        <v>340.58</v>
      </c>
      <c r="I14" s="76">
        <f t="shared" si="0"/>
        <v>-459.42</v>
      </c>
    </row>
    <row r="15" spans="1:9" ht="12.75" customHeight="1">
      <c r="A15" s="76" t="s">
        <v>291</v>
      </c>
      <c r="C15" s="76">
        <v>3688</v>
      </c>
      <c r="G15" s="76" t="s">
        <v>316</v>
      </c>
      <c r="H15" s="76">
        <v>3758.77</v>
      </c>
      <c r="I15" s="76">
        <f t="shared" si="0"/>
        <v>70.76999999999998</v>
      </c>
    </row>
    <row r="16" spans="1:9" ht="12.75" customHeight="1">
      <c r="A16" s="76" t="s">
        <v>292</v>
      </c>
      <c r="C16" s="76">
        <v>1211</v>
      </c>
      <c r="G16" s="76" t="s">
        <v>313</v>
      </c>
      <c r="H16" s="76">
        <v>1433.19</v>
      </c>
      <c r="I16" s="76">
        <f t="shared" si="0"/>
        <v>222.19000000000005</v>
      </c>
    </row>
    <row r="17" spans="1:9" ht="12.75" customHeight="1">
      <c r="A17" s="76" t="s">
        <v>293</v>
      </c>
      <c r="C17" s="76">
        <v>3351</v>
      </c>
      <c r="G17" s="81">
        <v>40579</v>
      </c>
      <c r="H17" s="76">
        <v>3369.07</v>
      </c>
      <c r="I17" s="76">
        <f t="shared" si="0"/>
        <v>18.070000000000164</v>
      </c>
    </row>
    <row r="18" spans="1:6" ht="12.75" customHeight="1">
      <c r="A18" s="76" t="s">
        <v>294</v>
      </c>
      <c r="C18" s="76">
        <v>4453</v>
      </c>
      <c r="D18" s="76">
        <v>11874</v>
      </c>
      <c r="E18" s="76">
        <v>5937</v>
      </c>
      <c r="F18" s="76">
        <f>+E18/D18</f>
        <v>0.5</v>
      </c>
    </row>
    <row r="19" spans="1:9" ht="12.75" customHeight="1">
      <c r="A19" s="76" t="s">
        <v>295</v>
      </c>
      <c r="B19" s="76" t="s">
        <v>310</v>
      </c>
      <c r="C19" s="76">
        <v>2958</v>
      </c>
      <c r="G19" s="81" t="s">
        <v>311</v>
      </c>
      <c r="H19" s="76">
        <v>4117.78</v>
      </c>
      <c r="I19" s="76">
        <f t="shared" si="0"/>
        <v>1159.7799999999997</v>
      </c>
    </row>
    <row r="20" spans="1:6" ht="12.75" customHeight="1">
      <c r="A20" s="76" t="s">
        <v>296</v>
      </c>
      <c r="C20" s="76">
        <v>3820</v>
      </c>
      <c r="D20" s="76">
        <v>1785</v>
      </c>
      <c r="E20" s="76">
        <v>4088</v>
      </c>
      <c r="F20" s="76">
        <f>+E20/D20</f>
        <v>2.2901960784313724</v>
      </c>
    </row>
    <row r="21" spans="1:9" ht="12.75" customHeight="1">
      <c r="A21" s="76" t="s">
        <v>297</v>
      </c>
      <c r="B21" s="76" t="s">
        <v>314</v>
      </c>
      <c r="C21" s="76">
        <v>244</v>
      </c>
      <c r="G21" s="76" t="s">
        <v>313</v>
      </c>
      <c r="H21" s="76">
        <v>137.1</v>
      </c>
      <c r="I21" s="76">
        <f t="shared" si="0"/>
        <v>-106.9</v>
      </c>
    </row>
    <row r="22" spans="1:6" ht="12.75" customHeight="1">
      <c r="A22" s="76" t="s">
        <v>298</v>
      </c>
      <c r="C22" s="76">
        <v>2200</v>
      </c>
      <c r="D22" s="76">
        <v>1</v>
      </c>
      <c r="E22" s="76">
        <f>+C22</f>
        <v>2200</v>
      </c>
      <c r="F22" s="76">
        <f>+E22/D22</f>
        <v>2200</v>
      </c>
    </row>
    <row r="23" spans="3:9" ht="12.75" customHeight="1" thickBot="1">
      <c r="C23" s="77">
        <f>SUM(C4:C22)</f>
        <v>83787</v>
      </c>
      <c r="E23" s="77">
        <f>SUM(E4:E22)</f>
        <v>43076</v>
      </c>
      <c r="H23" s="77">
        <f>SUM(H2:H22)</f>
        <v>44927.049999999996</v>
      </c>
      <c r="I23" s="77">
        <f>SUM(I2:I22)</f>
        <v>2727.0499999999984</v>
      </c>
    </row>
    <row r="24" ht="12.75" customHeight="1" thickTop="1"/>
    <row r="25" spans="1:5" ht="12.75" customHeight="1">
      <c r="A25" s="76" t="s">
        <v>303</v>
      </c>
      <c r="E25" s="76">
        <f>+Bank!C79</f>
        <v>37760.9</v>
      </c>
    </row>
    <row r="26" spans="1:5" ht="12.75" customHeight="1" thickBot="1">
      <c r="A26" s="76" t="s">
        <v>301</v>
      </c>
      <c r="E26" s="77">
        <f>+E23-E25</f>
        <v>5315.0999999999985</v>
      </c>
    </row>
    <row r="27" ht="12.75" customHeight="1" thickTop="1"/>
    <row r="28" ht="12.75" customHeight="1">
      <c r="A28" s="76" t="s">
        <v>306</v>
      </c>
    </row>
    <row r="29" spans="1:5" ht="12.75" customHeight="1">
      <c r="A29" s="76" t="s">
        <v>299</v>
      </c>
      <c r="C29" s="76">
        <v>25000</v>
      </c>
      <c r="E29" s="76">
        <f>+C29</f>
        <v>25000</v>
      </c>
    </row>
    <row r="30" spans="1:5" ht="12.75" customHeight="1">
      <c r="A30" s="76" t="s">
        <v>300</v>
      </c>
      <c r="C30" s="76">
        <v>50000</v>
      </c>
      <c r="E30" s="76">
        <f>+C30</f>
        <v>50000</v>
      </c>
    </row>
    <row r="31" spans="1:5" ht="12.75" customHeight="1" thickBot="1">
      <c r="A31" s="76" t="s">
        <v>302</v>
      </c>
      <c r="C31" s="77">
        <f>SUM(C23:C30)</f>
        <v>158787</v>
      </c>
      <c r="E31" s="77">
        <f>+E23+E29+E30</f>
        <v>118076</v>
      </c>
    </row>
    <row r="32" spans="3:5" ht="12.75" customHeight="1" thickTop="1">
      <c r="C32" s="80"/>
      <c r="E32" s="80"/>
    </row>
    <row r="33" spans="1:5" ht="12.75" customHeight="1">
      <c r="A33" s="76" t="s">
        <v>312</v>
      </c>
      <c r="C33" s="76" t="s">
        <v>98</v>
      </c>
      <c r="D33" s="76" t="s">
        <v>305</v>
      </c>
      <c r="E33" s="76" t="s">
        <v>102</v>
      </c>
    </row>
    <row r="34" spans="1:6" ht="12.75" customHeight="1">
      <c r="A34" s="76" t="s">
        <v>304</v>
      </c>
      <c r="C34" s="81">
        <v>40726</v>
      </c>
      <c r="D34" s="76">
        <v>355</v>
      </c>
      <c r="E34" s="76">
        <v>4982.85</v>
      </c>
      <c r="F34" s="76">
        <f>+E34/D34</f>
        <v>14.036197183098592</v>
      </c>
    </row>
    <row r="35" spans="1:5" ht="12.75" customHeight="1">
      <c r="A35" s="76" t="s">
        <v>304</v>
      </c>
      <c r="C35" s="81">
        <v>40547</v>
      </c>
      <c r="D35" s="76">
        <v>-355</v>
      </c>
      <c r="E35" s="76">
        <v>5606.8</v>
      </c>
    </row>
    <row r="36" spans="1:5" ht="12.75" customHeight="1">
      <c r="A36" s="76" t="s">
        <v>285</v>
      </c>
      <c r="C36" s="76" t="s">
        <v>319</v>
      </c>
      <c r="D36" s="76">
        <v>3000</v>
      </c>
      <c r="E36" s="76">
        <v>8029.95</v>
      </c>
    </row>
    <row r="37" spans="1:5" ht="12.75" customHeight="1">
      <c r="A37" s="76" t="s">
        <v>285</v>
      </c>
      <c r="C37" s="81">
        <v>40759</v>
      </c>
      <c r="D37" s="76">
        <v>-3000</v>
      </c>
      <c r="E37" s="76">
        <v>8560.05</v>
      </c>
    </row>
  </sheetData>
  <sheetProtection/>
  <printOptions/>
  <pageMargins left="0.75" right="0.75" top="1" bottom="1" header="0.5" footer="0.5"/>
  <pageSetup fitToHeight="1" fitToWidth="1" horizontalDpi="300" verticalDpi="300" orientation="portrait" paperSize="9" scale="87" r:id="rId1"/>
</worksheet>
</file>

<file path=xl/worksheets/sheet6.xml><?xml version="1.0" encoding="utf-8"?>
<worksheet xmlns="http://schemas.openxmlformats.org/spreadsheetml/2006/main" xmlns:r="http://schemas.openxmlformats.org/officeDocument/2006/relationships">
  <dimension ref="A1:L79"/>
  <sheetViews>
    <sheetView zoomScalePageLayoutView="0" workbookViewId="0" topLeftCell="A1">
      <pane xSplit="1" ySplit="1" topLeftCell="B62" activePane="bottomRight" state="frozen"/>
      <selection pane="topLeft" activeCell="A1" sqref="A1"/>
      <selection pane="topRight" activeCell="B1" sqref="B1"/>
      <selection pane="bottomLeft" activeCell="A2" sqref="A2"/>
      <selection pane="bottomRight" activeCell="C71" sqref="C71"/>
    </sheetView>
  </sheetViews>
  <sheetFormatPr defaultColWidth="9.140625" defaultRowHeight="12.75"/>
  <cols>
    <col min="1" max="1" width="21.8515625" style="61" customWidth="1"/>
    <col min="2" max="3" width="11.00390625" style="61" bestFit="1" customWidth="1"/>
    <col min="4" max="5" width="9.140625" style="61" customWidth="1"/>
    <col min="6" max="6" width="22.140625" style="61" customWidth="1"/>
    <col min="7" max="7" width="10.00390625" style="61" customWidth="1"/>
    <col min="8" max="16384" width="9.140625" style="61" customWidth="1"/>
  </cols>
  <sheetData>
    <row r="1" ht="12.75">
      <c r="A1" s="61" t="s">
        <v>243</v>
      </c>
    </row>
    <row r="2" spans="1:4" ht="25.5">
      <c r="A2" s="61" t="s">
        <v>139</v>
      </c>
      <c r="B2" s="62" t="s">
        <v>250</v>
      </c>
      <c r="C2" s="63" t="s">
        <v>140</v>
      </c>
      <c r="D2" s="61" t="s">
        <v>251</v>
      </c>
    </row>
    <row r="3" spans="1:3" ht="12.75">
      <c r="A3" s="61" t="s">
        <v>86</v>
      </c>
      <c r="B3" s="61">
        <v>103094.26</v>
      </c>
      <c r="C3" s="61">
        <v>103094.26</v>
      </c>
    </row>
    <row r="4" spans="1:3" ht="12.75">
      <c r="A4" s="61" t="s">
        <v>244</v>
      </c>
      <c r="B4" s="61">
        <v>208.33</v>
      </c>
      <c r="C4" s="61">
        <f aca="true" t="shared" si="0" ref="C4:C35">+C3+B4</f>
        <v>103302.59</v>
      </c>
    </row>
    <row r="5" spans="1:3" ht="12.75">
      <c r="A5" s="61" t="s">
        <v>143</v>
      </c>
      <c r="B5" s="61">
        <v>1370.48</v>
      </c>
      <c r="C5" s="61">
        <f t="shared" si="0"/>
        <v>104673.06999999999</v>
      </c>
    </row>
    <row r="6" spans="1:3" ht="12.75">
      <c r="A6" s="61" t="s">
        <v>246</v>
      </c>
      <c r="B6" s="61">
        <v>-1009.65</v>
      </c>
      <c r="C6" s="61">
        <f t="shared" si="0"/>
        <v>103663.42</v>
      </c>
    </row>
    <row r="7" spans="1:3" ht="12.75">
      <c r="A7" s="61" t="s">
        <v>245</v>
      </c>
      <c r="B7" s="61">
        <v>-4065</v>
      </c>
      <c r="C7" s="61">
        <f t="shared" si="0"/>
        <v>99598.42</v>
      </c>
    </row>
    <row r="8" spans="1:4" ht="12.75">
      <c r="A8" s="61" t="s">
        <v>141</v>
      </c>
      <c r="B8" s="61">
        <v>179.08</v>
      </c>
      <c r="C8" s="61">
        <f t="shared" si="0"/>
        <v>99777.5</v>
      </c>
      <c r="D8" s="61">
        <v>76.75</v>
      </c>
    </row>
    <row r="9" spans="1:3" ht="12.75">
      <c r="A9" s="61" t="s">
        <v>247</v>
      </c>
      <c r="B9" s="61">
        <v>-3970</v>
      </c>
      <c r="C9" s="61">
        <f t="shared" si="0"/>
        <v>95807.5</v>
      </c>
    </row>
    <row r="10" spans="1:3" ht="12.75">
      <c r="A10" s="61" t="s">
        <v>244</v>
      </c>
      <c r="B10" s="61">
        <v>208.33</v>
      </c>
      <c r="C10" s="61">
        <f t="shared" si="0"/>
        <v>96015.83</v>
      </c>
    </row>
    <row r="11" spans="1:3" ht="12.75">
      <c r="A11" s="61" t="s">
        <v>246</v>
      </c>
      <c r="B11" s="61">
        <v>-1009.65</v>
      </c>
      <c r="C11" s="61">
        <f t="shared" si="0"/>
        <v>95006.18000000001</v>
      </c>
    </row>
    <row r="12" spans="1:3" ht="12.75">
      <c r="A12" s="61" t="s">
        <v>142</v>
      </c>
      <c r="B12" s="61">
        <v>-40</v>
      </c>
      <c r="C12" s="61">
        <f t="shared" si="0"/>
        <v>94966.18000000001</v>
      </c>
    </row>
    <row r="13" spans="1:3" ht="12.75">
      <c r="A13" s="61" t="s">
        <v>244</v>
      </c>
      <c r="B13" s="61">
        <v>208.33</v>
      </c>
      <c r="C13" s="61">
        <f t="shared" si="0"/>
        <v>95174.51000000001</v>
      </c>
    </row>
    <row r="14" spans="1:6" ht="12.75">
      <c r="A14" s="61" t="s">
        <v>246</v>
      </c>
      <c r="B14" s="61">
        <v>-1009.65</v>
      </c>
      <c r="C14" s="61">
        <f t="shared" si="0"/>
        <v>94164.86000000002</v>
      </c>
      <c r="F14" s="61" t="s">
        <v>254</v>
      </c>
    </row>
    <row r="15" spans="1:4" ht="12.75">
      <c r="A15" s="61" t="s">
        <v>141</v>
      </c>
      <c r="B15" s="61">
        <v>232.44</v>
      </c>
      <c r="C15" s="61">
        <f t="shared" si="0"/>
        <v>94397.30000000002</v>
      </c>
      <c r="D15" s="61">
        <v>99.62</v>
      </c>
    </row>
    <row r="16" spans="1:12" ht="12.75">
      <c r="A16" s="61" t="s">
        <v>141</v>
      </c>
      <c r="B16" s="61">
        <v>55.99</v>
      </c>
      <c r="C16" s="61">
        <f t="shared" si="0"/>
        <v>94453.29000000002</v>
      </c>
      <c r="F16" s="65" t="s">
        <v>253</v>
      </c>
      <c r="G16" s="68"/>
      <c r="H16"/>
      <c r="I16"/>
      <c r="J16"/>
      <c r="K16"/>
      <c r="L16"/>
    </row>
    <row r="17" spans="1:12" ht="12.75">
      <c r="A17" s="61" t="s">
        <v>141</v>
      </c>
      <c r="B17" s="61">
        <v>224</v>
      </c>
      <c r="C17" s="61">
        <f t="shared" si="0"/>
        <v>94677.29000000002</v>
      </c>
      <c r="D17" s="61">
        <v>96</v>
      </c>
      <c r="F17" s="65" t="s">
        <v>139</v>
      </c>
      <c r="G17" s="68" t="s">
        <v>101</v>
      </c>
      <c r="H17"/>
      <c r="I17"/>
      <c r="J17"/>
      <c r="K17"/>
      <c r="L17"/>
    </row>
    <row r="18" spans="1:12" ht="12.75">
      <c r="A18" s="61" t="s">
        <v>141</v>
      </c>
      <c r="B18" s="61">
        <v>235.55</v>
      </c>
      <c r="C18" s="61">
        <f t="shared" si="0"/>
        <v>94912.84000000003</v>
      </c>
      <c r="D18" s="61">
        <v>35.33</v>
      </c>
      <c r="F18" s="64" t="s">
        <v>245</v>
      </c>
      <c r="G18" s="69">
        <v>-8685</v>
      </c>
      <c r="H18"/>
      <c r="I18"/>
      <c r="J18"/>
      <c r="K18"/>
      <c r="L18"/>
    </row>
    <row r="19" spans="1:12" ht="12.75">
      <c r="A19" s="61" t="s">
        <v>141</v>
      </c>
      <c r="B19" s="61">
        <v>600</v>
      </c>
      <c r="C19" s="61">
        <f t="shared" si="0"/>
        <v>95512.84000000003</v>
      </c>
      <c r="D19" s="61">
        <f>+B19/0.7*0.3</f>
        <v>257.14285714285717</v>
      </c>
      <c r="F19" s="66" t="s">
        <v>248</v>
      </c>
      <c r="G19" s="70">
        <v>-385</v>
      </c>
      <c r="H19"/>
      <c r="I19"/>
      <c r="J19"/>
      <c r="K19"/>
      <c r="L19"/>
    </row>
    <row r="20" spans="1:12" ht="12.75">
      <c r="A20" s="61" t="s">
        <v>141</v>
      </c>
      <c r="B20" s="61">
        <v>165.48</v>
      </c>
      <c r="C20" s="61">
        <f t="shared" si="0"/>
        <v>95678.32000000002</v>
      </c>
      <c r="F20" s="66" t="s">
        <v>142</v>
      </c>
      <c r="G20" s="70">
        <v>-40</v>
      </c>
      <c r="H20"/>
      <c r="I20"/>
      <c r="J20"/>
      <c r="K20"/>
      <c r="L20"/>
    </row>
    <row r="21" spans="1:12" ht="12.75">
      <c r="A21" s="61" t="s">
        <v>143</v>
      </c>
      <c r="B21" s="61">
        <v>1295.67</v>
      </c>
      <c r="C21" s="61">
        <f t="shared" si="0"/>
        <v>96973.99000000002</v>
      </c>
      <c r="F21" s="66" t="s">
        <v>141</v>
      </c>
      <c r="G21" s="70">
        <v>4069.96</v>
      </c>
      <c r="H21"/>
      <c r="I21"/>
      <c r="J21"/>
      <c r="K21"/>
      <c r="L21"/>
    </row>
    <row r="22" spans="1:12" ht="12.75">
      <c r="A22" s="61" t="s">
        <v>246</v>
      </c>
      <c r="B22" s="61">
        <v>-1009.65</v>
      </c>
      <c r="C22" s="61">
        <f t="shared" si="0"/>
        <v>95964.34000000003</v>
      </c>
      <c r="F22" s="66" t="s">
        <v>247</v>
      </c>
      <c r="G22" s="70">
        <v>-7840</v>
      </c>
      <c r="H22"/>
      <c r="I22"/>
      <c r="J22"/>
      <c r="K22"/>
      <c r="L22"/>
    </row>
    <row r="23" spans="1:12" ht="12.75">
      <c r="A23" s="61" t="s">
        <v>141</v>
      </c>
      <c r="B23" s="61">
        <v>32.03</v>
      </c>
      <c r="C23" s="61">
        <f t="shared" si="0"/>
        <v>95996.37000000002</v>
      </c>
      <c r="D23" s="61">
        <v>13.73</v>
      </c>
      <c r="F23" s="66" t="s">
        <v>143</v>
      </c>
      <c r="G23" s="70">
        <v>5311.15</v>
      </c>
      <c r="H23"/>
      <c r="I23"/>
      <c r="J23"/>
      <c r="K23"/>
      <c r="L23"/>
    </row>
    <row r="24" spans="1:12" ht="12.75">
      <c r="A24" s="61" t="s">
        <v>246</v>
      </c>
      <c r="B24" s="61">
        <v>-1009.65</v>
      </c>
      <c r="C24" s="61">
        <f t="shared" si="0"/>
        <v>94986.72000000003</v>
      </c>
      <c r="F24" s="66" t="s">
        <v>246</v>
      </c>
      <c r="G24" s="70">
        <v>-12213.32</v>
      </c>
      <c r="H24"/>
      <c r="I24"/>
      <c r="J24"/>
      <c r="K24"/>
      <c r="L24"/>
    </row>
    <row r="25" spans="1:12" ht="12.75">
      <c r="A25" s="61" t="s">
        <v>141</v>
      </c>
      <c r="B25" s="61">
        <v>83.33</v>
      </c>
      <c r="C25" s="61">
        <f t="shared" si="0"/>
        <v>95070.05000000003</v>
      </c>
      <c r="F25" s="66" t="s">
        <v>244</v>
      </c>
      <c r="G25" s="70">
        <v>958.31</v>
      </c>
      <c r="H25" t="s">
        <v>255</v>
      </c>
      <c r="I25"/>
      <c r="J25"/>
      <c r="K25"/>
      <c r="L25"/>
    </row>
    <row r="26" spans="1:12" ht="12.75">
      <c r="A26" s="61" t="s">
        <v>246</v>
      </c>
      <c r="B26" s="61">
        <v>-1009.65</v>
      </c>
      <c r="C26" s="61">
        <f t="shared" si="0"/>
        <v>94060.40000000004</v>
      </c>
      <c r="F26" s="66" t="s">
        <v>86</v>
      </c>
      <c r="G26" s="70">
        <v>103094.26</v>
      </c>
      <c r="H26"/>
      <c r="I26"/>
      <c r="J26"/>
      <c r="K26"/>
      <c r="L26"/>
    </row>
    <row r="27" spans="1:12" ht="12.75">
      <c r="A27" s="61" t="s">
        <v>141</v>
      </c>
      <c r="B27" s="61">
        <v>188.76</v>
      </c>
      <c r="C27" s="61">
        <f t="shared" si="0"/>
        <v>94249.16000000003</v>
      </c>
      <c r="D27" s="61">
        <v>80.9</v>
      </c>
      <c r="F27" s="66" t="s">
        <v>249</v>
      </c>
      <c r="G27" s="70">
        <v>828.89</v>
      </c>
      <c r="H27"/>
      <c r="I27"/>
      <c r="J27"/>
      <c r="K27"/>
      <c r="L27"/>
    </row>
    <row r="28" spans="1:12" ht="12.75">
      <c r="A28" s="61" t="s">
        <v>143</v>
      </c>
      <c r="B28" s="61">
        <v>1330.6</v>
      </c>
      <c r="C28" s="61">
        <f t="shared" si="0"/>
        <v>95579.76000000004</v>
      </c>
      <c r="F28" s="67" t="s">
        <v>147</v>
      </c>
      <c r="G28" s="71">
        <v>85099.25</v>
      </c>
      <c r="H28"/>
      <c r="I28"/>
      <c r="J28"/>
      <c r="K28"/>
      <c r="L28"/>
    </row>
    <row r="29" spans="1:12" ht="12.75">
      <c r="A29" s="61" t="s">
        <v>246</v>
      </c>
      <c r="B29" s="61">
        <v>-1009.65</v>
      </c>
      <c r="C29" s="61">
        <f t="shared" si="0"/>
        <v>94570.11000000004</v>
      </c>
      <c r="F29"/>
      <c r="G29"/>
      <c r="H29"/>
      <c r="I29"/>
      <c r="J29"/>
      <c r="K29"/>
      <c r="L29"/>
    </row>
    <row r="30" spans="1:3" ht="12.75">
      <c r="A30" s="61" t="s">
        <v>246</v>
      </c>
      <c r="B30" s="61">
        <v>-1009.65</v>
      </c>
      <c r="C30" s="61">
        <f t="shared" si="0"/>
        <v>93560.46000000005</v>
      </c>
    </row>
    <row r="31" spans="1:3" ht="12.75">
      <c r="A31" s="61" t="s">
        <v>248</v>
      </c>
      <c r="B31" s="61">
        <v>-385</v>
      </c>
      <c r="C31" s="61">
        <f t="shared" si="0"/>
        <v>93175.46000000005</v>
      </c>
    </row>
    <row r="32" spans="1:3" ht="12.75">
      <c r="A32" s="61" t="s">
        <v>246</v>
      </c>
      <c r="B32" s="61">
        <v>-42.8</v>
      </c>
      <c r="C32" s="61">
        <f t="shared" si="0"/>
        <v>93132.66000000005</v>
      </c>
    </row>
    <row r="33" spans="1:4" ht="12.75">
      <c r="A33" s="61" t="s">
        <v>141</v>
      </c>
      <c r="B33" s="61">
        <v>143.04</v>
      </c>
      <c r="C33" s="61">
        <f t="shared" si="0"/>
        <v>93275.70000000004</v>
      </c>
      <c r="D33" s="61">
        <v>61.3</v>
      </c>
    </row>
    <row r="34" spans="1:3" ht="12.75">
      <c r="A34" s="61" t="s">
        <v>246</v>
      </c>
      <c r="B34" s="61">
        <v>-1023.33</v>
      </c>
      <c r="C34" s="61">
        <f t="shared" si="0"/>
        <v>92252.37000000004</v>
      </c>
    </row>
    <row r="35" spans="1:3" ht="12.75">
      <c r="A35" s="61" t="s">
        <v>244</v>
      </c>
      <c r="B35" s="61">
        <v>83.33</v>
      </c>
      <c r="C35" s="61">
        <f t="shared" si="0"/>
        <v>92335.70000000004</v>
      </c>
    </row>
    <row r="36" spans="1:4" ht="12.75">
      <c r="A36" s="61" t="s">
        <v>141</v>
      </c>
      <c r="B36" s="61">
        <v>161.52</v>
      </c>
      <c r="C36" s="61">
        <f aca="true" t="shared" si="1" ref="C36:C55">+C35+B36</f>
        <v>92497.22000000004</v>
      </c>
      <c r="D36" s="61">
        <v>19.38</v>
      </c>
    </row>
    <row r="37" spans="1:4" ht="12.75">
      <c r="A37" s="61" t="s">
        <v>141</v>
      </c>
      <c r="B37" s="61">
        <v>420</v>
      </c>
      <c r="C37" s="61">
        <f t="shared" si="1"/>
        <v>92917.22000000004</v>
      </c>
      <c r="D37" s="61">
        <v>180</v>
      </c>
    </row>
    <row r="38" spans="1:3" ht="12.75">
      <c r="A38" s="61" t="s">
        <v>141</v>
      </c>
      <c r="B38" s="61">
        <v>224</v>
      </c>
      <c r="C38" s="61">
        <f t="shared" si="1"/>
        <v>93141.22000000004</v>
      </c>
    </row>
    <row r="39" spans="1:4" ht="12.75">
      <c r="A39" s="61" t="s">
        <v>141</v>
      </c>
      <c r="B39" s="61">
        <v>27.77</v>
      </c>
      <c r="C39" s="61">
        <f t="shared" si="1"/>
        <v>93168.99000000005</v>
      </c>
      <c r="D39" s="61">
        <v>11.9</v>
      </c>
    </row>
    <row r="40" spans="1:3" ht="12.75">
      <c r="A40" s="61" t="s">
        <v>141</v>
      </c>
      <c r="B40" s="61">
        <v>600</v>
      </c>
      <c r="C40" s="61">
        <f t="shared" si="1"/>
        <v>93768.99000000005</v>
      </c>
    </row>
    <row r="41" spans="1:4" ht="12.75">
      <c r="A41" s="61" t="s">
        <v>141</v>
      </c>
      <c r="B41" s="61">
        <v>53.25</v>
      </c>
      <c r="C41" s="61">
        <f t="shared" si="1"/>
        <v>93822.24000000005</v>
      </c>
      <c r="D41" s="61">
        <v>22.82</v>
      </c>
    </row>
    <row r="42" spans="1:5" ht="12.75">
      <c r="A42" s="61" t="s">
        <v>141</v>
      </c>
      <c r="B42" s="61">
        <v>262.05</v>
      </c>
      <c r="C42" s="61">
        <f t="shared" si="1"/>
        <v>94084.29000000005</v>
      </c>
      <c r="D42" s="61">
        <f>80.24+63</f>
        <v>143.24</v>
      </c>
      <c r="E42" s="61" t="s">
        <v>252</v>
      </c>
    </row>
    <row r="43" spans="1:3" ht="12.75">
      <c r="A43" s="61" t="s">
        <v>143</v>
      </c>
      <c r="B43" s="61">
        <v>1314.4</v>
      </c>
      <c r="C43" s="61">
        <f t="shared" si="1"/>
        <v>95398.69000000005</v>
      </c>
    </row>
    <row r="44" spans="1:3" ht="12.75">
      <c r="A44" s="61" t="s">
        <v>246</v>
      </c>
      <c r="B44" s="61">
        <v>-1023.33</v>
      </c>
      <c r="C44" s="61">
        <f t="shared" si="1"/>
        <v>94375.36000000004</v>
      </c>
    </row>
    <row r="45" spans="1:3" ht="12.75">
      <c r="A45" s="61" t="s">
        <v>141</v>
      </c>
      <c r="B45" s="61">
        <v>21</v>
      </c>
      <c r="C45" s="61">
        <f t="shared" si="1"/>
        <v>94396.36000000004</v>
      </c>
    </row>
    <row r="46" spans="1:4" ht="12.75">
      <c r="A46" s="61" t="s">
        <v>244</v>
      </c>
      <c r="B46" s="61">
        <v>83.33</v>
      </c>
      <c r="C46" s="61">
        <f t="shared" si="1"/>
        <v>94479.69000000005</v>
      </c>
      <c r="D46" s="61">
        <v>35.71</v>
      </c>
    </row>
    <row r="47" spans="1:3" ht="12.75">
      <c r="A47" s="61" t="s">
        <v>249</v>
      </c>
      <c r="B47" s="61">
        <v>828.89</v>
      </c>
      <c r="C47" s="61">
        <f t="shared" si="1"/>
        <v>95308.58000000005</v>
      </c>
    </row>
    <row r="48" spans="1:4" ht="12.75">
      <c r="A48" s="61" t="s">
        <v>141</v>
      </c>
      <c r="B48" s="61">
        <v>32.5</v>
      </c>
      <c r="C48" s="61">
        <f t="shared" si="1"/>
        <v>95341.08000000005</v>
      </c>
      <c r="D48" s="61">
        <v>13.93</v>
      </c>
    </row>
    <row r="49" spans="1:3" ht="12.75">
      <c r="A49" s="61" t="s">
        <v>246</v>
      </c>
      <c r="B49" s="61">
        <v>-1023.33</v>
      </c>
      <c r="C49" s="61">
        <f t="shared" si="1"/>
        <v>94317.75000000004</v>
      </c>
    </row>
    <row r="50" spans="1:3" ht="12.75">
      <c r="A50" s="61" t="s">
        <v>244</v>
      </c>
      <c r="B50" s="61">
        <v>83.33</v>
      </c>
      <c r="C50" s="61">
        <f t="shared" si="1"/>
        <v>94401.08000000005</v>
      </c>
    </row>
    <row r="51" spans="1:3" ht="12.75">
      <c r="A51" s="61" t="s">
        <v>141</v>
      </c>
      <c r="B51" s="61">
        <v>128.17</v>
      </c>
      <c r="C51" s="61">
        <f t="shared" si="1"/>
        <v>94529.25000000004</v>
      </c>
    </row>
    <row r="52" spans="1:3" ht="12.75">
      <c r="A52" s="61" t="s">
        <v>246</v>
      </c>
      <c r="B52" s="61">
        <v>-1023.33</v>
      </c>
      <c r="C52" s="61">
        <f t="shared" si="1"/>
        <v>93505.92000000004</v>
      </c>
    </row>
    <row r="53" spans="1:3" ht="12.75">
      <c r="A53" s="61" t="s">
        <v>247</v>
      </c>
      <c r="B53" s="61">
        <v>-3870</v>
      </c>
      <c r="C53" s="61">
        <f t="shared" si="1"/>
        <v>89635.92000000004</v>
      </c>
    </row>
    <row r="54" spans="1:3" ht="12.75">
      <c r="A54" s="61" t="s">
        <v>48</v>
      </c>
      <c r="B54" s="61">
        <v>-4620</v>
      </c>
      <c r="C54" s="61">
        <f t="shared" si="1"/>
        <v>85015.92000000004</v>
      </c>
    </row>
    <row r="55" spans="1:3" ht="12.75">
      <c r="A55" s="61" t="s">
        <v>244</v>
      </c>
      <c r="B55" s="61">
        <v>83.33</v>
      </c>
      <c r="C55" s="61">
        <f t="shared" si="1"/>
        <v>85099.25000000004</v>
      </c>
    </row>
    <row r="56" ht="13.5" thickBot="1">
      <c r="D56" s="72">
        <f>SUM(D3:D55)</f>
        <v>1147.7528571428572</v>
      </c>
    </row>
    <row r="57" ht="13.5" thickTop="1"/>
    <row r="58" ht="12.75">
      <c r="A58" s="73" t="s">
        <v>256</v>
      </c>
    </row>
    <row r="59" spans="1:3" ht="12.75">
      <c r="A59" s="61" t="s">
        <v>86</v>
      </c>
      <c r="C59" s="61">
        <f>+'Financial Statements'!I51+0.36</f>
        <v>85727.36</v>
      </c>
    </row>
    <row r="60" spans="1:3" ht="12.75">
      <c r="A60" s="61" t="s">
        <v>257</v>
      </c>
      <c r="C60" s="61">
        <v>4802.73</v>
      </c>
    </row>
    <row r="61" spans="1:3" ht="12.75">
      <c r="A61" s="61" t="s">
        <v>261</v>
      </c>
      <c r="C61" s="75">
        <f>9555.21+4500+45000</f>
        <v>59055.21</v>
      </c>
    </row>
    <row r="62" spans="1:3" ht="12.75">
      <c r="A62" s="61" t="s">
        <v>259</v>
      </c>
      <c r="C62" s="75">
        <f>-3990.62-8030</f>
        <v>-12020.619999999999</v>
      </c>
    </row>
    <row r="63" ht="13.5" thickBot="1">
      <c r="C63" s="72">
        <f>SUM(C59:C62)</f>
        <v>137564.68</v>
      </c>
    </row>
    <row r="64" ht="13.5" thickTop="1"/>
    <row r="65" ht="12.75">
      <c r="A65" s="73" t="s">
        <v>258</v>
      </c>
    </row>
    <row r="66" spans="1:3" ht="12.75">
      <c r="A66" s="61" t="s">
        <v>86</v>
      </c>
      <c r="C66" s="61">
        <f>+'Financial Statements'!I50+0.12</f>
        <v>1046.12</v>
      </c>
    </row>
    <row r="67" spans="1:3" ht="12.75">
      <c r="A67" s="61" t="s">
        <v>257</v>
      </c>
      <c r="C67" s="61">
        <v>5.42</v>
      </c>
    </row>
    <row r="68" spans="1:3" ht="12.75">
      <c r="A68" s="61" t="s">
        <v>260</v>
      </c>
      <c r="C68" s="75">
        <f>8030+3990.62</f>
        <v>12020.619999999999</v>
      </c>
    </row>
    <row r="69" spans="1:3" ht="12.75">
      <c r="A69" s="61" t="s">
        <v>262</v>
      </c>
      <c r="C69" s="75">
        <f>-9555.21-4500-45000</f>
        <v>-59055.21</v>
      </c>
    </row>
    <row r="70" spans="1:3" ht="12.75">
      <c r="A70" s="61" t="s">
        <v>354</v>
      </c>
      <c r="C70" s="75">
        <v>94895.34</v>
      </c>
    </row>
    <row r="71" spans="1:3" ht="12.75">
      <c r="A71" s="61" t="s">
        <v>263</v>
      </c>
      <c r="C71" s="61">
        <f>-5036.85-8029.95</f>
        <v>-13066.8</v>
      </c>
    </row>
    <row r="72" spans="1:3" ht="12.75">
      <c r="A72" s="61" t="s">
        <v>264</v>
      </c>
      <c r="C72" s="61">
        <f>9454.16+1129.44+3369.07+3781.65+4117.78+12009.99+8560.05+5531.95+5606.8+5533.01</f>
        <v>59093.9</v>
      </c>
    </row>
    <row r="73" ht="13.5" thickBot="1">
      <c r="C73" s="72">
        <f>SUM(C66:C72)</f>
        <v>94939.38999999998</v>
      </c>
    </row>
    <row r="74" ht="13.5" thickTop="1"/>
    <row r="75" ht="12.75">
      <c r="A75" s="73" t="s">
        <v>265</v>
      </c>
    </row>
    <row r="76" spans="1:3" ht="12.75">
      <c r="A76" s="61" t="s">
        <v>86</v>
      </c>
      <c r="C76" s="61">
        <f>+'Financial Statements'!I42</f>
        <v>83788</v>
      </c>
    </row>
    <row r="77" spans="1:3" ht="12.75">
      <c r="A77" s="61" t="s">
        <v>266</v>
      </c>
      <c r="C77" s="61">
        <f>-C71</f>
        <v>13066.8</v>
      </c>
    </row>
    <row r="78" spans="1:3" ht="12.75">
      <c r="A78" s="61" t="s">
        <v>267</v>
      </c>
      <c r="C78" s="61">
        <f>-C72</f>
        <v>-59093.9</v>
      </c>
    </row>
    <row r="79" spans="1:3" ht="13.5" thickBot="1">
      <c r="A79" s="61" t="s">
        <v>11</v>
      </c>
      <c r="C79" s="72">
        <f>SUM(C76:C78)</f>
        <v>37760.9</v>
      </c>
    </row>
    <row r="80" ht="13.5" thickTop="1"/>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N162"/>
  <sheetViews>
    <sheetView zoomScalePageLayoutView="0" workbookViewId="0" topLeftCell="A1">
      <selection activeCell="A2" sqref="A2"/>
    </sheetView>
  </sheetViews>
  <sheetFormatPr defaultColWidth="9.140625" defaultRowHeight="12.75"/>
  <sheetData>
    <row r="1" ht="12.75">
      <c r="A1" s="7" t="str">
        <f>+'Financial Statements'!A2</f>
        <v>Sample Super Funds</v>
      </c>
    </row>
    <row r="3" ht="15.75">
      <c r="A3" s="43" t="s">
        <v>200</v>
      </c>
    </row>
    <row r="5" ht="14.25">
      <c r="A5" s="60" t="s">
        <v>154</v>
      </c>
    </row>
    <row r="6" ht="14.25">
      <c r="A6" s="60" t="s">
        <v>330</v>
      </c>
    </row>
    <row r="7" ht="14.25">
      <c r="A7" s="60" t="s">
        <v>331</v>
      </c>
    </row>
    <row r="9" spans="1:14" ht="12.75">
      <c r="A9" s="86" t="s">
        <v>350</v>
      </c>
      <c r="B9" s="86"/>
      <c r="C9" s="86"/>
      <c r="D9" s="86"/>
      <c r="E9" s="86"/>
      <c r="F9" s="86"/>
      <c r="G9" s="86"/>
      <c r="H9" s="86"/>
      <c r="I9" s="86"/>
      <c r="J9" s="86"/>
      <c r="K9" s="86"/>
      <c r="L9" s="86"/>
      <c r="M9" s="86"/>
      <c r="N9" s="86"/>
    </row>
    <row r="10" spans="1:14" ht="12.75">
      <c r="A10" s="86"/>
      <c r="B10" s="86"/>
      <c r="C10" s="86"/>
      <c r="D10" s="86"/>
      <c r="E10" s="86"/>
      <c r="F10" s="86"/>
      <c r="G10" s="86"/>
      <c r="H10" s="86"/>
      <c r="I10" s="86"/>
      <c r="J10" s="86"/>
      <c r="K10" s="86"/>
      <c r="L10" s="86"/>
      <c r="M10" s="86"/>
      <c r="N10" s="86"/>
    </row>
    <row r="11" spans="1:14" ht="12.75">
      <c r="A11" s="86"/>
      <c r="B11" s="86"/>
      <c r="C11" s="86"/>
      <c r="D11" s="86"/>
      <c r="E11" s="86"/>
      <c r="F11" s="86"/>
      <c r="G11" s="86"/>
      <c r="H11" s="86"/>
      <c r="I11" s="86"/>
      <c r="J11" s="86"/>
      <c r="K11" s="86"/>
      <c r="L11" s="86"/>
      <c r="M11" s="86"/>
      <c r="N11" s="86"/>
    </row>
    <row r="12" spans="1:14" ht="12.75">
      <c r="A12" s="86"/>
      <c r="B12" s="86"/>
      <c r="C12" s="86"/>
      <c r="D12" s="86"/>
      <c r="E12" s="86"/>
      <c r="F12" s="86"/>
      <c r="G12" s="86"/>
      <c r="H12" s="86"/>
      <c r="I12" s="86"/>
      <c r="J12" s="86"/>
      <c r="K12" s="86"/>
      <c r="L12" s="86"/>
      <c r="M12" s="86"/>
      <c r="N12" s="86"/>
    </row>
    <row r="13" spans="1:14" ht="12.75">
      <c r="A13" s="86"/>
      <c r="B13" s="86"/>
      <c r="C13" s="86"/>
      <c r="D13" s="86"/>
      <c r="E13" s="86"/>
      <c r="F13" s="86"/>
      <c r="G13" s="86"/>
      <c r="H13" s="86"/>
      <c r="I13" s="86"/>
      <c r="J13" s="86"/>
      <c r="K13" s="86"/>
      <c r="L13" s="86"/>
      <c r="M13" s="86"/>
      <c r="N13" s="86"/>
    </row>
    <row r="15" spans="1:14" ht="12.75">
      <c r="A15" s="86" t="s">
        <v>351</v>
      </c>
      <c r="B15" s="86"/>
      <c r="C15" s="86"/>
      <c r="D15" s="86"/>
      <c r="E15" s="86"/>
      <c r="F15" s="86"/>
      <c r="G15" s="86"/>
      <c r="H15" s="86"/>
      <c r="I15" s="86"/>
      <c r="J15" s="86"/>
      <c r="K15" s="86"/>
      <c r="L15" s="86"/>
      <c r="M15" s="86"/>
      <c r="N15" s="86"/>
    </row>
    <row r="16" spans="1:14" ht="12.75">
      <c r="A16" s="86"/>
      <c r="B16" s="86"/>
      <c r="C16" s="86"/>
      <c r="D16" s="86"/>
      <c r="E16" s="86"/>
      <c r="F16" s="86"/>
      <c r="G16" s="86"/>
      <c r="H16" s="86"/>
      <c r="I16" s="86"/>
      <c r="J16" s="86"/>
      <c r="K16" s="86"/>
      <c r="L16" s="86"/>
      <c r="M16" s="86"/>
      <c r="N16" s="86"/>
    </row>
    <row r="17" spans="1:14" ht="12.75">
      <c r="A17" s="86"/>
      <c r="B17" s="86"/>
      <c r="C17" s="86"/>
      <c r="D17" s="86"/>
      <c r="E17" s="86"/>
      <c r="F17" s="86"/>
      <c r="G17" s="86"/>
      <c r="H17" s="86"/>
      <c r="I17" s="86"/>
      <c r="J17" s="86"/>
      <c r="K17" s="86"/>
      <c r="L17" s="86"/>
      <c r="M17" s="86"/>
      <c r="N17" s="86"/>
    </row>
    <row r="18" spans="1:14" ht="12.75">
      <c r="A18" s="86"/>
      <c r="B18" s="86"/>
      <c r="C18" s="86"/>
      <c r="D18" s="86"/>
      <c r="E18" s="86"/>
      <c r="F18" s="86"/>
      <c r="G18" s="86"/>
      <c r="H18" s="86"/>
      <c r="I18" s="86"/>
      <c r="J18" s="86"/>
      <c r="K18" s="86"/>
      <c r="L18" s="86"/>
      <c r="M18" s="86"/>
      <c r="N18" s="86"/>
    </row>
    <row r="19" spans="1:14" ht="12.75">
      <c r="A19" s="86"/>
      <c r="B19" s="86"/>
      <c r="C19" s="86"/>
      <c r="D19" s="86"/>
      <c r="E19" s="86"/>
      <c r="F19" s="86"/>
      <c r="G19" s="86"/>
      <c r="H19" s="86"/>
      <c r="I19" s="86"/>
      <c r="J19" s="86"/>
      <c r="K19" s="86"/>
      <c r="L19" s="86"/>
      <c r="M19" s="86"/>
      <c r="N19" s="86"/>
    </row>
    <row r="21" spans="1:14" ht="12.75">
      <c r="A21" s="86" t="s">
        <v>201</v>
      </c>
      <c r="B21" s="86"/>
      <c r="C21" s="86"/>
      <c r="D21" s="86"/>
      <c r="E21" s="86"/>
      <c r="F21" s="86"/>
      <c r="G21" s="86"/>
      <c r="H21" s="86"/>
      <c r="I21" s="86"/>
      <c r="J21" s="86"/>
      <c r="K21" s="86"/>
      <c r="L21" s="86"/>
      <c r="M21" s="86"/>
      <c r="N21" s="86"/>
    </row>
    <row r="23" spans="1:14" s="7" customFormat="1" ht="12.75">
      <c r="A23" s="92" t="s">
        <v>202</v>
      </c>
      <c r="B23" s="92"/>
      <c r="C23" s="92"/>
      <c r="D23" s="92"/>
      <c r="E23" s="92"/>
      <c r="F23" s="92"/>
      <c r="G23" s="92"/>
      <c r="H23" s="92"/>
      <c r="I23" s="92"/>
      <c r="J23" s="92"/>
      <c r="K23" s="92"/>
      <c r="L23" s="92"/>
      <c r="M23" s="92"/>
      <c r="N23" s="92"/>
    </row>
    <row r="25" spans="1:14" ht="12" customHeight="1">
      <c r="A25" s="86" t="s">
        <v>203</v>
      </c>
      <c r="B25" s="86"/>
      <c r="C25" s="86"/>
      <c r="D25" s="86"/>
      <c r="E25" s="86"/>
      <c r="F25" s="86"/>
      <c r="G25" s="86"/>
      <c r="H25" s="86"/>
      <c r="I25" s="86"/>
      <c r="J25" s="86"/>
      <c r="K25" s="86"/>
      <c r="L25" s="86"/>
      <c r="M25" s="86"/>
      <c r="N25" s="86"/>
    </row>
    <row r="27" spans="1:14" s="7" customFormat="1" ht="12.75">
      <c r="A27" s="92" t="s">
        <v>204</v>
      </c>
      <c r="B27" s="92"/>
      <c r="C27" s="92"/>
      <c r="D27" s="92"/>
      <c r="E27" s="92"/>
      <c r="F27" s="92"/>
      <c r="G27" s="92"/>
      <c r="H27" s="92"/>
      <c r="I27" s="92"/>
      <c r="J27" s="92"/>
      <c r="K27" s="92"/>
      <c r="L27" s="92"/>
      <c r="M27" s="92"/>
      <c r="N27" s="92"/>
    </row>
    <row r="28" spans="1:14" ht="12.75">
      <c r="A28" s="86" t="s">
        <v>205</v>
      </c>
      <c r="B28" s="86"/>
      <c r="C28" s="86"/>
      <c r="D28" s="86"/>
      <c r="E28" s="86"/>
      <c r="F28" s="86"/>
      <c r="G28" s="86"/>
      <c r="H28" s="86"/>
      <c r="I28" s="86"/>
      <c r="J28" s="86"/>
      <c r="K28" s="86"/>
      <c r="L28" s="86"/>
      <c r="M28" s="86"/>
      <c r="N28" s="86"/>
    </row>
    <row r="29" spans="1:14" ht="12.75">
      <c r="A29" s="86"/>
      <c r="B29" s="86"/>
      <c r="C29" s="86"/>
      <c r="D29" s="86"/>
      <c r="E29" s="86"/>
      <c r="F29" s="86"/>
      <c r="G29" s="86"/>
      <c r="H29" s="86"/>
      <c r="I29" s="86"/>
      <c r="J29" s="86"/>
      <c r="K29" s="86"/>
      <c r="L29" s="86"/>
      <c r="M29" s="86"/>
      <c r="N29" s="86"/>
    </row>
    <row r="31" spans="1:14" ht="12.75">
      <c r="A31" s="92" t="s">
        <v>206</v>
      </c>
      <c r="B31" s="92"/>
      <c r="C31" s="92"/>
      <c r="D31" s="92"/>
      <c r="E31" s="92"/>
      <c r="F31" s="92"/>
      <c r="G31" s="92"/>
      <c r="H31" s="92"/>
      <c r="I31" s="92"/>
      <c r="J31" s="92"/>
      <c r="K31" s="92"/>
      <c r="L31" s="92"/>
      <c r="M31" s="92"/>
      <c r="N31" s="92"/>
    </row>
    <row r="33" spans="1:14" ht="12.75">
      <c r="A33" s="86" t="s">
        <v>207</v>
      </c>
      <c r="B33" s="86"/>
      <c r="C33" s="86"/>
      <c r="D33" s="86"/>
      <c r="E33" s="86"/>
      <c r="F33" s="86"/>
      <c r="G33" s="86"/>
      <c r="H33" s="86"/>
      <c r="I33" s="86"/>
      <c r="J33" s="86"/>
      <c r="K33" s="86"/>
      <c r="L33" s="86"/>
      <c r="M33" s="86"/>
      <c r="N33" s="86"/>
    </row>
    <row r="35" spans="1:14" ht="12.75">
      <c r="A35" s="92" t="s">
        <v>208</v>
      </c>
      <c r="B35" s="92"/>
      <c r="C35" s="92"/>
      <c r="D35" s="92"/>
      <c r="E35" s="92"/>
      <c r="F35" s="92"/>
      <c r="G35" s="92"/>
      <c r="H35" s="92"/>
      <c r="I35" s="92"/>
      <c r="J35" s="92"/>
      <c r="K35" s="92"/>
      <c r="L35" s="92"/>
      <c r="M35" s="92"/>
      <c r="N35" s="92"/>
    </row>
    <row r="37" spans="1:14" ht="12.75">
      <c r="A37" s="91" t="s">
        <v>209</v>
      </c>
      <c r="B37" s="91"/>
      <c r="C37" s="91"/>
      <c r="D37" s="91"/>
      <c r="E37" s="91"/>
      <c r="F37" s="91"/>
      <c r="G37" s="91"/>
      <c r="H37" s="91"/>
      <c r="I37" s="91"/>
      <c r="J37" s="91"/>
      <c r="K37" s="91"/>
      <c r="L37" s="91"/>
      <c r="M37" s="91"/>
      <c r="N37" s="91"/>
    </row>
    <row r="38" spans="1:14" ht="12.75">
      <c r="A38" s="91"/>
      <c r="B38" s="91"/>
      <c r="C38" s="91"/>
      <c r="D38" s="91"/>
      <c r="E38" s="91"/>
      <c r="F38" s="91"/>
      <c r="G38" s="91"/>
      <c r="H38" s="91"/>
      <c r="I38" s="91"/>
      <c r="J38" s="91"/>
      <c r="K38" s="91"/>
      <c r="L38" s="91"/>
      <c r="M38" s="91"/>
      <c r="N38" s="91"/>
    </row>
    <row r="40" spans="1:14" ht="12.75">
      <c r="A40" s="92" t="s">
        <v>210</v>
      </c>
      <c r="B40" s="92"/>
      <c r="C40" s="92"/>
      <c r="D40" s="92"/>
      <c r="E40" s="92"/>
      <c r="F40" s="92"/>
      <c r="G40" s="92"/>
      <c r="H40" s="92"/>
      <c r="I40" s="92"/>
      <c r="J40" s="92"/>
      <c r="K40" s="92"/>
      <c r="L40" s="92"/>
      <c r="M40" s="92"/>
      <c r="N40" s="92"/>
    </row>
    <row r="42" spans="1:14" ht="12.75">
      <c r="A42" s="89" t="s">
        <v>211</v>
      </c>
      <c r="B42" s="89"/>
      <c r="C42" s="89"/>
      <c r="D42" s="89"/>
      <c r="E42" s="89"/>
      <c r="F42" s="89"/>
      <c r="G42" s="89"/>
      <c r="H42" s="89"/>
      <c r="I42" s="89"/>
      <c r="J42" s="89"/>
      <c r="K42" s="89"/>
      <c r="L42" s="89"/>
      <c r="M42" s="89"/>
      <c r="N42" s="89"/>
    </row>
    <row r="43" spans="1:14" ht="12.75">
      <c r="A43" s="89"/>
      <c r="B43" s="89"/>
      <c r="C43" s="89"/>
      <c r="D43" s="89"/>
      <c r="E43" s="89"/>
      <c r="F43" s="89"/>
      <c r="G43" s="89"/>
      <c r="H43" s="89"/>
      <c r="I43" s="89"/>
      <c r="J43" s="89"/>
      <c r="K43" s="89"/>
      <c r="L43" s="89"/>
      <c r="M43" s="89"/>
      <c r="N43" s="89"/>
    </row>
    <row r="44" spans="1:14" ht="36.75" customHeight="1">
      <c r="A44" s="89"/>
      <c r="B44" s="89"/>
      <c r="C44" s="89"/>
      <c r="D44" s="89"/>
      <c r="E44" s="89"/>
      <c r="F44" s="89"/>
      <c r="G44" s="89"/>
      <c r="H44" s="89"/>
      <c r="I44" s="89"/>
      <c r="J44" s="89"/>
      <c r="K44" s="89"/>
      <c r="L44" s="89"/>
      <c r="M44" s="89"/>
      <c r="N44" s="89"/>
    </row>
    <row r="45" spans="1:14" ht="12.75">
      <c r="A45" s="89"/>
      <c r="B45" s="89"/>
      <c r="C45" s="89"/>
      <c r="D45" s="89"/>
      <c r="E45" s="89"/>
      <c r="F45" s="89"/>
      <c r="G45" s="89"/>
      <c r="H45" s="89"/>
      <c r="I45" s="89"/>
      <c r="J45" s="89"/>
      <c r="K45" s="89"/>
      <c r="L45" s="89"/>
      <c r="M45" s="89"/>
      <c r="N45" s="89"/>
    </row>
    <row r="46" spans="1:14" ht="12.75">
      <c r="A46" s="89"/>
      <c r="B46" s="89"/>
      <c r="C46" s="89"/>
      <c r="D46" s="89"/>
      <c r="E46" s="89"/>
      <c r="F46" s="89"/>
      <c r="G46" s="89"/>
      <c r="H46" s="89"/>
      <c r="I46" s="89"/>
      <c r="J46" s="89"/>
      <c r="K46" s="89"/>
      <c r="L46" s="89"/>
      <c r="M46" s="89"/>
      <c r="N46" s="89"/>
    </row>
    <row r="47" spans="1:14" ht="12.75">
      <c r="A47" s="89" t="s">
        <v>212</v>
      </c>
      <c r="B47" s="89"/>
      <c r="C47" s="89"/>
      <c r="D47" s="89"/>
      <c r="E47" s="89"/>
      <c r="F47" s="89"/>
      <c r="G47" s="89"/>
      <c r="H47" s="89"/>
      <c r="I47" s="89"/>
      <c r="J47" s="89"/>
      <c r="K47" s="89"/>
      <c r="L47" s="89"/>
      <c r="M47" s="89"/>
      <c r="N47" s="89"/>
    </row>
    <row r="48" spans="1:14" ht="12.75">
      <c r="A48" s="89"/>
      <c r="B48" s="89"/>
      <c r="C48" s="89"/>
      <c r="D48" s="89"/>
      <c r="E48" s="89"/>
      <c r="F48" s="89"/>
      <c r="G48" s="89"/>
      <c r="H48" s="89"/>
      <c r="I48" s="89"/>
      <c r="J48" s="89"/>
      <c r="K48" s="89"/>
      <c r="L48" s="89"/>
      <c r="M48" s="89"/>
      <c r="N48" s="89"/>
    </row>
    <row r="49" spans="1:14" ht="44.25" customHeight="1">
      <c r="A49" s="89"/>
      <c r="B49" s="89"/>
      <c r="C49" s="89"/>
      <c r="D49" s="89"/>
      <c r="E49" s="89"/>
      <c r="F49" s="89"/>
      <c r="G49" s="89"/>
      <c r="H49" s="89"/>
      <c r="I49" s="89"/>
      <c r="J49" s="89"/>
      <c r="K49" s="89"/>
      <c r="L49" s="89"/>
      <c r="M49" s="89"/>
      <c r="N49" s="89"/>
    </row>
    <row r="50" spans="1:14" ht="12.75">
      <c r="A50" s="89"/>
      <c r="B50" s="89"/>
      <c r="C50" s="89"/>
      <c r="D50" s="89"/>
      <c r="E50" s="89"/>
      <c r="F50" s="89"/>
      <c r="G50" s="89"/>
      <c r="H50" s="89"/>
      <c r="I50" s="89"/>
      <c r="J50" s="89"/>
      <c r="K50" s="89"/>
      <c r="L50" s="89"/>
      <c r="M50" s="89"/>
      <c r="N50" s="89"/>
    </row>
    <row r="51" spans="1:14" ht="12.75">
      <c r="A51" s="89"/>
      <c r="B51" s="89"/>
      <c r="C51" s="89"/>
      <c r="D51" s="89"/>
      <c r="E51" s="89"/>
      <c r="F51" s="89"/>
      <c r="G51" s="89"/>
      <c r="H51" s="89"/>
      <c r="I51" s="89"/>
      <c r="J51" s="89"/>
      <c r="K51" s="89"/>
      <c r="L51" s="89"/>
      <c r="M51" s="89"/>
      <c r="N51" s="89"/>
    </row>
    <row r="53" spans="1:14" ht="12.75">
      <c r="A53" s="90" t="s">
        <v>213</v>
      </c>
      <c r="B53" s="90"/>
      <c r="C53" s="90"/>
      <c r="D53" s="90"/>
      <c r="E53" s="90"/>
      <c r="F53" s="90"/>
      <c r="G53" s="90"/>
      <c r="H53" s="90"/>
      <c r="I53" s="90"/>
      <c r="J53" s="90"/>
      <c r="K53" s="90"/>
      <c r="L53" s="90"/>
      <c r="M53" s="90"/>
      <c r="N53" s="90"/>
    </row>
    <row r="55" spans="1:14" ht="12.75">
      <c r="A55" s="89" t="s">
        <v>214</v>
      </c>
      <c r="B55" s="89"/>
      <c r="C55" s="89"/>
      <c r="D55" s="89"/>
      <c r="E55" s="89"/>
      <c r="F55" s="89"/>
      <c r="G55" s="89"/>
      <c r="H55" s="89"/>
      <c r="I55" s="89"/>
      <c r="J55" s="89"/>
      <c r="K55" s="89"/>
      <c r="L55" s="89"/>
      <c r="M55" s="89"/>
      <c r="N55" s="89"/>
    </row>
    <row r="56" spans="1:14" ht="12.75">
      <c r="A56" s="89"/>
      <c r="B56" s="89"/>
      <c r="C56" s="89"/>
      <c r="D56" s="89"/>
      <c r="E56" s="89"/>
      <c r="F56" s="89"/>
      <c r="G56" s="89"/>
      <c r="H56" s="89"/>
      <c r="I56" s="89"/>
      <c r="J56" s="89"/>
      <c r="K56" s="89"/>
      <c r="L56" s="89"/>
      <c r="M56" s="89"/>
      <c r="N56" s="89"/>
    </row>
    <row r="57" spans="1:14" ht="45.75" customHeight="1">
      <c r="A57" s="89"/>
      <c r="B57" s="89"/>
      <c r="C57" s="89"/>
      <c r="D57" s="89"/>
      <c r="E57" s="89"/>
      <c r="F57" s="89"/>
      <c r="G57" s="89"/>
      <c r="H57" s="89"/>
      <c r="I57" s="89"/>
      <c r="J57" s="89"/>
      <c r="K57" s="89"/>
      <c r="L57" s="89"/>
      <c r="M57" s="89"/>
      <c r="N57" s="89"/>
    </row>
    <row r="58" spans="1:14" ht="12.75">
      <c r="A58" s="89"/>
      <c r="B58" s="89"/>
      <c r="C58" s="89"/>
      <c r="D58" s="89"/>
      <c r="E58" s="89"/>
      <c r="F58" s="89"/>
      <c r="G58" s="89"/>
      <c r="H58" s="89"/>
      <c r="I58" s="89"/>
      <c r="J58" s="89"/>
      <c r="K58" s="89"/>
      <c r="L58" s="89"/>
      <c r="M58" s="89"/>
      <c r="N58" s="89"/>
    </row>
    <row r="59" spans="1:14" ht="12.75">
      <c r="A59" s="89"/>
      <c r="B59" s="89"/>
      <c r="C59" s="89"/>
      <c r="D59" s="89"/>
      <c r="E59" s="89"/>
      <c r="F59" s="89"/>
      <c r="G59" s="89"/>
      <c r="H59" s="89"/>
      <c r="I59" s="89"/>
      <c r="J59" s="89"/>
      <c r="K59" s="89"/>
      <c r="L59" s="89"/>
      <c r="M59" s="89"/>
      <c r="N59" s="89"/>
    </row>
    <row r="61" spans="1:14" ht="12.75">
      <c r="A61" s="90" t="s">
        <v>215</v>
      </c>
      <c r="B61" s="90"/>
      <c r="C61" s="90"/>
      <c r="D61" s="90"/>
      <c r="E61" s="90"/>
      <c r="F61" s="90"/>
      <c r="G61" s="90"/>
      <c r="H61" s="90"/>
      <c r="I61" s="90"/>
      <c r="J61" s="90"/>
      <c r="K61" s="90"/>
      <c r="L61" s="90"/>
      <c r="M61" s="90"/>
      <c r="N61" s="90"/>
    </row>
    <row r="63" spans="1:14" ht="12.75">
      <c r="A63" s="89" t="s">
        <v>216</v>
      </c>
      <c r="B63" s="89"/>
      <c r="C63" s="89"/>
      <c r="D63" s="89"/>
      <c r="E63" s="89"/>
      <c r="F63" s="89"/>
      <c r="G63" s="89"/>
      <c r="H63" s="89"/>
      <c r="I63" s="89"/>
      <c r="J63" s="89"/>
      <c r="K63" s="89"/>
      <c r="L63" s="89"/>
      <c r="M63" s="89"/>
      <c r="N63" s="89"/>
    </row>
    <row r="64" spans="1:14" ht="12.75">
      <c r="A64" s="89"/>
      <c r="B64" s="89"/>
      <c r="C64" s="89"/>
      <c r="D64" s="89"/>
      <c r="E64" s="89"/>
      <c r="F64" s="89"/>
      <c r="G64" s="89"/>
      <c r="H64" s="89"/>
      <c r="I64" s="89"/>
      <c r="J64" s="89"/>
      <c r="K64" s="89"/>
      <c r="L64" s="89"/>
      <c r="M64" s="89"/>
      <c r="N64" s="89"/>
    </row>
    <row r="65" spans="1:14" ht="57.75" customHeight="1">
      <c r="A65" s="89"/>
      <c r="B65" s="89"/>
      <c r="C65" s="89"/>
      <c r="D65" s="89"/>
      <c r="E65" s="89"/>
      <c r="F65" s="89"/>
      <c r="G65" s="89"/>
      <c r="H65" s="89"/>
      <c r="I65" s="89"/>
      <c r="J65" s="89"/>
      <c r="K65" s="89"/>
      <c r="L65" s="89"/>
      <c r="M65" s="89"/>
      <c r="N65" s="89"/>
    </row>
    <row r="66" spans="1:14" ht="12.75">
      <c r="A66" s="89"/>
      <c r="B66" s="89"/>
      <c r="C66" s="89"/>
      <c r="D66" s="89"/>
      <c r="E66" s="89"/>
      <c r="F66" s="89"/>
      <c r="G66" s="89"/>
      <c r="H66" s="89"/>
      <c r="I66" s="89"/>
      <c r="J66" s="89"/>
      <c r="K66" s="89"/>
      <c r="L66" s="89"/>
      <c r="M66" s="89"/>
      <c r="N66" s="89"/>
    </row>
    <row r="67" spans="1:14" ht="12.75">
      <c r="A67" s="89"/>
      <c r="B67" s="89"/>
      <c r="C67" s="89"/>
      <c r="D67" s="89"/>
      <c r="E67" s="89"/>
      <c r="F67" s="89"/>
      <c r="G67" s="89"/>
      <c r="H67" s="89"/>
      <c r="I67" s="89"/>
      <c r="J67" s="89"/>
      <c r="K67" s="89"/>
      <c r="L67" s="89"/>
      <c r="M67" s="89"/>
      <c r="N67" s="89"/>
    </row>
    <row r="69" spans="1:14" ht="12.75">
      <c r="A69" s="90" t="s">
        <v>217</v>
      </c>
      <c r="B69" s="90"/>
      <c r="C69" s="90"/>
      <c r="D69" s="90"/>
      <c r="E69" s="90"/>
      <c r="F69" s="90"/>
      <c r="G69" s="90"/>
      <c r="H69" s="90"/>
      <c r="I69" s="90"/>
      <c r="J69" s="90"/>
      <c r="K69" s="90"/>
      <c r="L69" s="90"/>
      <c r="M69" s="90"/>
      <c r="N69" s="90"/>
    </row>
    <row r="71" spans="1:14" ht="12.75">
      <c r="A71" s="89" t="s">
        <v>218</v>
      </c>
      <c r="B71" s="89"/>
      <c r="C71" s="89"/>
      <c r="D71" s="89"/>
      <c r="E71" s="89"/>
      <c r="F71" s="89"/>
      <c r="G71" s="89"/>
      <c r="H71" s="89"/>
      <c r="I71" s="89"/>
      <c r="J71" s="89"/>
      <c r="K71" s="89"/>
      <c r="L71" s="89"/>
      <c r="M71" s="89"/>
      <c r="N71" s="89"/>
    </row>
    <row r="72" spans="1:14" ht="12.75">
      <c r="A72" s="89"/>
      <c r="B72" s="89"/>
      <c r="C72" s="89"/>
      <c r="D72" s="89"/>
      <c r="E72" s="89"/>
      <c r="F72" s="89"/>
      <c r="G72" s="89"/>
      <c r="H72" s="89"/>
      <c r="I72" s="89"/>
      <c r="J72" s="89"/>
      <c r="K72" s="89"/>
      <c r="L72" s="89"/>
      <c r="M72" s="89"/>
      <c r="N72" s="89"/>
    </row>
    <row r="73" spans="1:14" ht="39.75" customHeight="1">
      <c r="A73" s="89"/>
      <c r="B73" s="89"/>
      <c r="C73" s="89"/>
      <c r="D73" s="89"/>
      <c r="E73" s="89"/>
      <c r="F73" s="89"/>
      <c r="G73" s="89"/>
      <c r="H73" s="89"/>
      <c r="I73" s="89"/>
      <c r="J73" s="89"/>
      <c r="K73" s="89"/>
      <c r="L73" s="89"/>
      <c r="M73" s="89"/>
      <c r="N73" s="89"/>
    </row>
    <row r="74" spans="1:14" ht="12.75">
      <c r="A74" s="89"/>
      <c r="B74" s="89"/>
      <c r="C74" s="89"/>
      <c r="D74" s="89"/>
      <c r="E74" s="89"/>
      <c r="F74" s="89"/>
      <c r="G74" s="89"/>
      <c r="H74" s="89"/>
      <c r="I74" s="89"/>
      <c r="J74" s="89"/>
      <c r="K74" s="89"/>
      <c r="L74" s="89"/>
      <c r="M74" s="89"/>
      <c r="N74" s="89"/>
    </row>
    <row r="75" spans="1:14" ht="12.75">
      <c r="A75" s="89"/>
      <c r="B75" s="89"/>
      <c r="C75" s="89"/>
      <c r="D75" s="89"/>
      <c r="E75" s="89"/>
      <c r="F75" s="89"/>
      <c r="G75" s="89"/>
      <c r="H75" s="89"/>
      <c r="I75" s="89"/>
      <c r="J75" s="89"/>
      <c r="K75" s="89"/>
      <c r="L75" s="89"/>
      <c r="M75" s="89"/>
      <c r="N75" s="89"/>
    </row>
    <row r="76" spans="1:14" ht="12.75">
      <c r="A76" s="90" t="s">
        <v>219</v>
      </c>
      <c r="B76" s="90"/>
      <c r="C76" s="90"/>
      <c r="D76" s="90"/>
      <c r="E76" s="90"/>
      <c r="F76" s="90"/>
      <c r="G76" s="90"/>
      <c r="H76" s="90"/>
      <c r="I76" s="90"/>
      <c r="J76" s="90"/>
      <c r="K76" s="90"/>
      <c r="L76" s="90"/>
      <c r="M76" s="90"/>
      <c r="N76" s="90"/>
    </row>
    <row r="78" spans="1:14" ht="12.75">
      <c r="A78" s="89" t="s">
        <v>220</v>
      </c>
      <c r="B78" s="89"/>
      <c r="C78" s="89"/>
      <c r="D78" s="89"/>
      <c r="E78" s="89"/>
      <c r="F78" s="89"/>
      <c r="G78" s="89"/>
      <c r="H78" s="89"/>
      <c r="I78" s="89"/>
      <c r="J78" s="89"/>
      <c r="K78" s="89"/>
      <c r="L78" s="89"/>
      <c r="M78" s="89"/>
      <c r="N78" s="89"/>
    </row>
    <row r="79" spans="1:14" ht="14.25" customHeight="1">
      <c r="A79" s="89"/>
      <c r="B79" s="89"/>
      <c r="C79" s="89"/>
      <c r="D79" s="89"/>
      <c r="E79" s="89"/>
      <c r="F79" s="89"/>
      <c r="G79" s="89"/>
      <c r="H79" s="89"/>
      <c r="I79" s="89"/>
      <c r="J79" s="89"/>
      <c r="K79" s="89"/>
      <c r="L79" s="89"/>
      <c r="M79" s="89"/>
      <c r="N79" s="89"/>
    </row>
    <row r="80" spans="1:14" ht="12.75">
      <c r="A80" s="89"/>
      <c r="B80" s="89"/>
      <c r="C80" s="89"/>
      <c r="D80" s="89"/>
      <c r="E80" s="89"/>
      <c r="F80" s="89"/>
      <c r="G80" s="89"/>
      <c r="H80" s="89"/>
      <c r="I80" s="89"/>
      <c r="J80" s="89"/>
      <c r="K80" s="89"/>
      <c r="L80" s="89"/>
      <c r="M80" s="89"/>
      <c r="N80" s="89"/>
    </row>
    <row r="81" spans="1:14" ht="12.75">
      <c r="A81" s="90" t="s">
        <v>221</v>
      </c>
      <c r="B81" s="90"/>
      <c r="C81" s="90"/>
      <c r="D81" s="90"/>
      <c r="E81" s="90"/>
      <c r="F81" s="90"/>
      <c r="G81" s="90"/>
      <c r="H81" s="90"/>
      <c r="I81" s="90"/>
      <c r="J81" s="90"/>
      <c r="K81" s="90"/>
      <c r="L81" s="90"/>
      <c r="M81" s="90"/>
      <c r="N81" s="90"/>
    </row>
    <row r="83" spans="1:14" ht="12.75">
      <c r="A83" s="89" t="s">
        <v>222</v>
      </c>
      <c r="B83" s="89"/>
      <c r="C83" s="89"/>
      <c r="D83" s="89"/>
      <c r="E83" s="89"/>
      <c r="F83" s="89"/>
      <c r="G83" s="89"/>
      <c r="H83" s="89"/>
      <c r="I83" s="89"/>
      <c r="J83" s="89"/>
      <c r="K83" s="89"/>
      <c r="L83" s="89"/>
      <c r="M83" s="89"/>
      <c r="N83" s="89"/>
    </row>
    <row r="84" spans="1:14" ht="12.75">
      <c r="A84" s="89"/>
      <c r="B84" s="89"/>
      <c r="C84" s="89"/>
      <c r="D84" s="89"/>
      <c r="E84" s="89"/>
      <c r="F84" s="89"/>
      <c r="G84" s="89"/>
      <c r="H84" s="89"/>
      <c r="I84" s="89"/>
      <c r="J84" s="89"/>
      <c r="K84" s="89"/>
      <c r="L84" s="89"/>
      <c r="M84" s="89"/>
      <c r="N84" s="89"/>
    </row>
    <row r="85" spans="1:14" ht="41.25" customHeight="1">
      <c r="A85" s="89"/>
      <c r="B85" s="89"/>
      <c r="C85" s="89"/>
      <c r="D85" s="89"/>
      <c r="E85" s="89"/>
      <c r="F85" s="89"/>
      <c r="G85" s="89"/>
      <c r="H85" s="89"/>
      <c r="I85" s="89"/>
      <c r="J85" s="89"/>
      <c r="K85" s="89"/>
      <c r="L85" s="89"/>
      <c r="M85" s="89"/>
      <c r="N85" s="89"/>
    </row>
    <row r="86" spans="1:14" ht="12.75">
      <c r="A86" s="89"/>
      <c r="B86" s="89"/>
      <c r="C86" s="89"/>
      <c r="D86" s="89"/>
      <c r="E86" s="89"/>
      <c r="F86" s="89"/>
      <c r="G86" s="89"/>
      <c r="H86" s="89"/>
      <c r="I86" s="89"/>
      <c r="J86" s="89"/>
      <c r="K86" s="89"/>
      <c r="L86" s="89"/>
      <c r="M86" s="89"/>
      <c r="N86" s="89"/>
    </row>
    <row r="87" spans="1:14" ht="12.75">
      <c r="A87" s="89"/>
      <c r="B87" s="89"/>
      <c r="C87" s="89"/>
      <c r="D87" s="89"/>
      <c r="E87" s="89"/>
      <c r="F87" s="89"/>
      <c r="G87" s="89"/>
      <c r="H87" s="89"/>
      <c r="I87" s="89"/>
      <c r="J87" s="89"/>
      <c r="K87" s="89"/>
      <c r="L87" s="89"/>
      <c r="M87" s="89"/>
      <c r="N87" s="89"/>
    </row>
    <row r="88" spans="1:14" ht="12.75">
      <c r="A88" s="90" t="s">
        <v>223</v>
      </c>
      <c r="B88" s="90"/>
      <c r="C88" s="90"/>
      <c r="D88" s="90"/>
      <c r="E88" s="90"/>
      <c r="F88" s="90"/>
      <c r="G88" s="90"/>
      <c r="H88" s="90"/>
      <c r="I88" s="90"/>
      <c r="J88" s="90"/>
      <c r="K88" s="90"/>
      <c r="L88" s="90"/>
      <c r="M88" s="90"/>
      <c r="N88" s="90"/>
    </row>
    <row r="90" spans="1:14" ht="12.75">
      <c r="A90" s="89" t="s">
        <v>224</v>
      </c>
      <c r="B90" s="89"/>
      <c r="C90" s="89"/>
      <c r="D90" s="89"/>
      <c r="E90" s="89"/>
      <c r="F90" s="89"/>
      <c r="G90" s="89"/>
      <c r="H90" s="89"/>
      <c r="I90" s="89"/>
      <c r="J90" s="89"/>
      <c r="K90" s="89"/>
      <c r="L90" s="89"/>
      <c r="M90" s="89"/>
      <c r="N90" s="89"/>
    </row>
    <row r="91" spans="1:14" ht="12.75">
      <c r="A91" s="89"/>
      <c r="B91" s="89"/>
      <c r="C91" s="89"/>
      <c r="D91" s="89"/>
      <c r="E91" s="89"/>
      <c r="F91" s="89"/>
      <c r="G91" s="89"/>
      <c r="H91" s="89"/>
      <c r="I91" s="89"/>
      <c r="J91" s="89"/>
      <c r="K91" s="89"/>
      <c r="L91" s="89"/>
      <c r="M91" s="89"/>
      <c r="N91" s="89"/>
    </row>
    <row r="92" spans="1:14" ht="59.25" customHeight="1">
      <c r="A92" s="89"/>
      <c r="B92" s="89"/>
      <c r="C92" s="89"/>
      <c r="D92" s="89"/>
      <c r="E92" s="89"/>
      <c r="F92" s="89"/>
      <c r="G92" s="89"/>
      <c r="H92" s="89"/>
      <c r="I92" s="89"/>
      <c r="J92" s="89"/>
      <c r="K92" s="89"/>
      <c r="L92" s="89"/>
      <c r="M92" s="89"/>
      <c r="N92" s="89"/>
    </row>
    <row r="93" spans="1:14" ht="12.75">
      <c r="A93" s="89"/>
      <c r="B93" s="89"/>
      <c r="C93" s="89"/>
      <c r="D93" s="89"/>
      <c r="E93" s="89"/>
      <c r="F93" s="89"/>
      <c r="G93" s="89"/>
      <c r="H93" s="89"/>
      <c r="I93" s="89"/>
      <c r="J93" s="89"/>
      <c r="K93" s="89"/>
      <c r="L93" s="89"/>
      <c r="M93" s="89"/>
      <c r="N93" s="89"/>
    </row>
    <row r="94" spans="1:14" ht="12.75">
      <c r="A94" s="89"/>
      <c r="B94" s="89"/>
      <c r="C94" s="89"/>
      <c r="D94" s="89"/>
      <c r="E94" s="89"/>
      <c r="F94" s="89"/>
      <c r="G94" s="89"/>
      <c r="H94" s="89"/>
      <c r="I94" s="89"/>
      <c r="J94" s="89"/>
      <c r="K94" s="89"/>
      <c r="L94" s="89"/>
      <c r="M94" s="89"/>
      <c r="N94" s="89"/>
    </row>
    <row r="96" spans="1:14" ht="12.75">
      <c r="A96" s="89" t="s">
        <v>225</v>
      </c>
      <c r="B96" s="89"/>
      <c r="C96" s="89"/>
      <c r="D96" s="89"/>
      <c r="E96" s="89"/>
      <c r="F96" s="89"/>
      <c r="G96" s="89"/>
      <c r="H96" s="89"/>
      <c r="I96" s="89"/>
      <c r="J96" s="89"/>
      <c r="K96" s="89"/>
      <c r="L96" s="89"/>
      <c r="M96" s="89"/>
      <c r="N96" s="89"/>
    </row>
    <row r="97" spans="1:14" ht="12.75">
      <c r="A97" s="89"/>
      <c r="B97" s="89"/>
      <c r="C97" s="89"/>
      <c r="D97" s="89"/>
      <c r="E97" s="89"/>
      <c r="F97" s="89"/>
      <c r="G97" s="89"/>
      <c r="H97" s="89"/>
      <c r="I97" s="89"/>
      <c r="J97" s="89"/>
      <c r="K97" s="89"/>
      <c r="L97" s="89"/>
      <c r="M97" s="89"/>
      <c r="N97" s="89"/>
    </row>
    <row r="98" spans="1:14" ht="12.75">
      <c r="A98" s="89"/>
      <c r="B98" s="89"/>
      <c r="C98" s="89"/>
      <c r="D98" s="89"/>
      <c r="E98" s="89"/>
      <c r="F98" s="89"/>
      <c r="G98" s="89"/>
      <c r="H98" s="89"/>
      <c r="I98" s="89"/>
      <c r="J98" s="89"/>
      <c r="K98" s="89"/>
      <c r="L98" s="89"/>
      <c r="M98" s="89"/>
      <c r="N98" s="89"/>
    </row>
    <row r="99" spans="1:14" ht="12.75">
      <c r="A99" s="89"/>
      <c r="B99" s="89"/>
      <c r="C99" s="89"/>
      <c r="D99" s="89"/>
      <c r="E99" s="89"/>
      <c r="F99" s="89"/>
      <c r="G99" s="89"/>
      <c r="H99" s="89"/>
      <c r="I99" s="89"/>
      <c r="J99" s="89"/>
      <c r="K99" s="89"/>
      <c r="L99" s="89"/>
      <c r="M99" s="89"/>
      <c r="N99" s="89"/>
    </row>
    <row r="101" spans="1:14" ht="12.75">
      <c r="A101" s="90" t="s">
        <v>226</v>
      </c>
      <c r="B101" s="90"/>
      <c r="C101" s="90"/>
      <c r="D101" s="90"/>
      <c r="E101" s="90"/>
      <c r="F101" s="90"/>
      <c r="G101" s="90"/>
      <c r="H101" s="90"/>
      <c r="I101" s="90"/>
      <c r="J101" s="90"/>
      <c r="K101" s="90"/>
      <c r="L101" s="90"/>
      <c r="M101" s="90"/>
      <c r="N101" s="90"/>
    </row>
    <row r="103" spans="1:14" ht="12.75">
      <c r="A103" s="89" t="s">
        <v>227</v>
      </c>
      <c r="B103" s="89"/>
      <c r="C103" s="89"/>
      <c r="D103" s="89"/>
      <c r="E103" s="89"/>
      <c r="F103" s="89"/>
      <c r="G103" s="89"/>
      <c r="H103" s="89"/>
      <c r="I103" s="89"/>
      <c r="J103" s="89"/>
      <c r="K103" s="89"/>
      <c r="L103" s="89"/>
      <c r="M103" s="89"/>
      <c r="N103" s="89"/>
    </row>
    <row r="105" spans="1:14" ht="12.75">
      <c r="A105" s="90" t="s">
        <v>228</v>
      </c>
      <c r="B105" s="90"/>
      <c r="C105" s="90"/>
      <c r="D105" s="90"/>
      <c r="E105" s="90"/>
      <c r="F105" s="90"/>
      <c r="G105" s="90"/>
      <c r="H105" s="90"/>
      <c r="I105" s="90"/>
      <c r="J105" s="90"/>
      <c r="K105" s="90"/>
      <c r="L105" s="90"/>
      <c r="M105" s="90"/>
      <c r="N105" s="90"/>
    </row>
    <row r="107" spans="1:14" ht="12.75">
      <c r="A107" s="89" t="s">
        <v>352</v>
      </c>
      <c r="B107" s="89"/>
      <c r="C107" s="89"/>
      <c r="D107" s="89"/>
      <c r="E107" s="89"/>
      <c r="F107" s="89"/>
      <c r="G107" s="89"/>
      <c r="H107" s="89"/>
      <c r="I107" s="89"/>
      <c r="J107" s="89"/>
      <c r="K107" s="89"/>
      <c r="L107" s="89"/>
      <c r="M107" s="89"/>
      <c r="N107" s="89"/>
    </row>
    <row r="108" spans="1:14" ht="12.75">
      <c r="A108" s="89"/>
      <c r="B108" s="89"/>
      <c r="C108" s="89"/>
      <c r="D108" s="89"/>
      <c r="E108" s="89"/>
      <c r="F108" s="89"/>
      <c r="G108" s="89"/>
      <c r="H108" s="89"/>
      <c r="I108" s="89"/>
      <c r="J108" s="89"/>
      <c r="K108" s="89"/>
      <c r="L108" s="89"/>
      <c r="M108" s="89"/>
      <c r="N108" s="89"/>
    </row>
    <row r="109" spans="1:14" ht="12.75">
      <c r="A109" s="89"/>
      <c r="B109" s="89"/>
      <c r="C109" s="89"/>
      <c r="D109" s="89"/>
      <c r="E109" s="89"/>
      <c r="F109" s="89"/>
      <c r="G109" s="89"/>
      <c r="H109" s="89"/>
      <c r="I109" s="89"/>
      <c r="J109" s="89"/>
      <c r="K109" s="89"/>
      <c r="L109" s="89"/>
      <c r="M109" s="89"/>
      <c r="N109" s="89"/>
    </row>
    <row r="110" spans="1:14" ht="12.75">
      <c r="A110" s="89"/>
      <c r="B110" s="89"/>
      <c r="C110" s="89"/>
      <c r="D110" s="89"/>
      <c r="E110" s="89"/>
      <c r="F110" s="89"/>
      <c r="G110" s="89"/>
      <c r="H110" s="89"/>
      <c r="I110" s="89"/>
      <c r="J110" s="89"/>
      <c r="K110" s="89"/>
      <c r="L110" s="89"/>
      <c r="M110" s="89"/>
      <c r="N110" s="89"/>
    </row>
    <row r="111" spans="1:14" ht="12.75">
      <c r="A111" s="90" t="s">
        <v>229</v>
      </c>
      <c r="B111" s="90"/>
      <c r="C111" s="90"/>
      <c r="D111" s="90"/>
      <c r="E111" s="90"/>
      <c r="F111" s="90"/>
      <c r="G111" s="90"/>
      <c r="H111" s="90"/>
      <c r="I111" s="90"/>
      <c r="J111" s="90"/>
      <c r="K111" s="90"/>
      <c r="L111" s="90"/>
      <c r="M111" s="90"/>
      <c r="N111" s="90"/>
    </row>
    <row r="113" spans="1:14" ht="12.75">
      <c r="A113" s="89" t="s">
        <v>230</v>
      </c>
      <c r="B113" s="89"/>
      <c r="C113" s="89"/>
      <c r="D113" s="89"/>
      <c r="E113" s="89"/>
      <c r="F113" s="89"/>
      <c r="G113" s="89"/>
      <c r="H113" s="89"/>
      <c r="I113" s="89"/>
      <c r="J113" s="89"/>
      <c r="K113" s="89"/>
      <c r="L113" s="89"/>
      <c r="M113" s="89"/>
      <c r="N113" s="89"/>
    </row>
    <row r="114" spans="1:14" ht="12.75">
      <c r="A114" s="89"/>
      <c r="B114" s="89"/>
      <c r="C114" s="89"/>
      <c r="D114" s="89"/>
      <c r="E114" s="89"/>
      <c r="F114" s="89"/>
      <c r="G114" s="89"/>
      <c r="H114" s="89"/>
      <c r="I114" s="89"/>
      <c r="J114" s="89"/>
      <c r="K114" s="89"/>
      <c r="L114" s="89"/>
      <c r="M114" s="89"/>
      <c r="N114" s="89"/>
    </row>
    <row r="115" spans="1:14" ht="86.25" customHeight="1">
      <c r="A115" s="89"/>
      <c r="B115" s="89"/>
      <c r="C115" s="89"/>
      <c r="D115" s="89"/>
      <c r="E115" s="89"/>
      <c r="F115" s="89"/>
      <c r="G115" s="89"/>
      <c r="H115" s="89"/>
      <c r="I115" s="89"/>
      <c r="J115" s="89"/>
      <c r="K115" s="89"/>
      <c r="L115" s="89"/>
      <c r="M115" s="89"/>
      <c r="N115" s="89"/>
    </row>
    <row r="116" spans="1:14" ht="12.75">
      <c r="A116" s="89"/>
      <c r="B116" s="89"/>
      <c r="C116" s="89"/>
      <c r="D116" s="89"/>
      <c r="E116" s="89"/>
      <c r="F116" s="89"/>
      <c r="G116" s="89"/>
      <c r="H116" s="89"/>
      <c r="I116" s="89"/>
      <c r="J116" s="89"/>
      <c r="K116" s="89"/>
      <c r="L116" s="89"/>
      <c r="M116" s="89"/>
      <c r="N116" s="89"/>
    </row>
    <row r="117" spans="1:14" ht="12.75">
      <c r="A117" s="89"/>
      <c r="B117" s="89"/>
      <c r="C117" s="89"/>
      <c r="D117" s="89"/>
      <c r="E117" s="89"/>
      <c r="F117" s="89"/>
      <c r="G117" s="89"/>
      <c r="H117" s="89"/>
      <c r="I117" s="89"/>
      <c r="J117" s="89"/>
      <c r="K117" s="89"/>
      <c r="L117" s="89"/>
      <c r="M117" s="89"/>
      <c r="N117" s="89"/>
    </row>
    <row r="119" spans="1:14" ht="12.75">
      <c r="A119" s="90" t="s">
        <v>231</v>
      </c>
      <c r="B119" s="90"/>
      <c r="C119" s="90"/>
      <c r="D119" s="90"/>
      <c r="E119" s="90"/>
      <c r="F119" s="90"/>
      <c r="G119" s="90"/>
      <c r="H119" s="90"/>
      <c r="I119" s="90"/>
      <c r="J119" s="90"/>
      <c r="K119" s="90"/>
      <c r="L119" s="90"/>
      <c r="M119" s="90"/>
      <c r="N119" s="90"/>
    </row>
    <row r="121" spans="1:14" ht="12.75">
      <c r="A121" s="89" t="s">
        <v>232</v>
      </c>
      <c r="B121" s="89"/>
      <c r="C121" s="89"/>
      <c r="D121" s="89"/>
      <c r="E121" s="89"/>
      <c r="F121" s="89"/>
      <c r="G121" s="89"/>
      <c r="H121" s="89"/>
      <c r="I121" s="89"/>
      <c r="J121" s="89"/>
      <c r="K121" s="89"/>
      <c r="L121" s="89"/>
      <c r="M121" s="89"/>
      <c r="N121" s="89"/>
    </row>
    <row r="122" spans="1:14" ht="12.75">
      <c r="A122" s="89"/>
      <c r="B122" s="89"/>
      <c r="C122" s="89"/>
      <c r="D122" s="89"/>
      <c r="E122" s="89"/>
      <c r="F122" s="89"/>
      <c r="G122" s="89"/>
      <c r="H122" s="89"/>
      <c r="I122" s="89"/>
      <c r="J122" s="89"/>
      <c r="K122" s="89"/>
      <c r="L122" s="89"/>
      <c r="M122" s="89"/>
      <c r="N122" s="89"/>
    </row>
    <row r="123" spans="1:14" ht="12.75">
      <c r="A123" s="89"/>
      <c r="B123" s="89"/>
      <c r="C123" s="89"/>
      <c r="D123" s="89"/>
      <c r="E123" s="89"/>
      <c r="F123" s="89"/>
      <c r="G123" s="89"/>
      <c r="H123" s="89"/>
      <c r="I123" s="89"/>
      <c r="J123" s="89"/>
      <c r="K123" s="89"/>
      <c r="L123" s="89"/>
      <c r="M123" s="89"/>
      <c r="N123" s="89"/>
    </row>
    <row r="124" spans="1:14" ht="12.75">
      <c r="A124" s="89"/>
      <c r="B124" s="89"/>
      <c r="C124" s="89"/>
      <c r="D124" s="89"/>
      <c r="E124" s="89"/>
      <c r="F124" s="89"/>
      <c r="G124" s="89"/>
      <c r="H124" s="89"/>
      <c r="I124" s="89"/>
      <c r="J124" s="89"/>
      <c r="K124" s="89"/>
      <c r="L124" s="89"/>
      <c r="M124" s="89"/>
      <c r="N124" s="89"/>
    </row>
    <row r="125" spans="1:14" ht="12.75">
      <c r="A125" s="89"/>
      <c r="B125" s="89"/>
      <c r="C125" s="89"/>
      <c r="D125" s="89"/>
      <c r="E125" s="89"/>
      <c r="F125" s="89"/>
      <c r="G125" s="89"/>
      <c r="H125" s="89"/>
      <c r="I125" s="89"/>
      <c r="J125" s="89"/>
      <c r="K125" s="89"/>
      <c r="L125" s="89"/>
      <c r="M125" s="89"/>
      <c r="N125" s="89"/>
    </row>
    <row r="126" spans="1:14" ht="12.75">
      <c r="A126" s="90" t="s">
        <v>233</v>
      </c>
      <c r="B126" s="90"/>
      <c r="C126" s="90"/>
      <c r="D126" s="90"/>
      <c r="E126" s="90"/>
      <c r="F126" s="90"/>
      <c r="G126" s="90"/>
      <c r="H126" s="90"/>
      <c r="I126" s="90"/>
      <c r="J126" s="90"/>
      <c r="K126" s="90"/>
      <c r="L126" s="90"/>
      <c r="M126" s="90"/>
      <c r="N126" s="90"/>
    </row>
    <row r="128" spans="1:14" ht="12.75">
      <c r="A128" s="89" t="s">
        <v>234</v>
      </c>
      <c r="B128" s="89"/>
      <c r="C128" s="89"/>
      <c r="D128" s="89"/>
      <c r="E128" s="89"/>
      <c r="F128" s="89"/>
      <c r="G128" s="89"/>
      <c r="H128" s="89"/>
      <c r="I128" s="89"/>
      <c r="J128" s="89"/>
      <c r="K128" s="89"/>
      <c r="L128" s="89"/>
      <c r="M128" s="89"/>
      <c r="N128" s="89"/>
    </row>
    <row r="129" spans="1:14" ht="12.75">
      <c r="A129" s="89"/>
      <c r="B129" s="89"/>
      <c r="C129" s="89"/>
      <c r="D129" s="89"/>
      <c r="E129" s="89"/>
      <c r="F129" s="89"/>
      <c r="G129" s="89"/>
      <c r="H129" s="89"/>
      <c r="I129" s="89"/>
      <c r="J129" s="89"/>
      <c r="K129" s="89"/>
      <c r="L129" s="89"/>
      <c r="M129" s="89"/>
      <c r="N129" s="89"/>
    </row>
    <row r="130" spans="1:14" ht="12.75">
      <c r="A130" s="89"/>
      <c r="B130" s="89"/>
      <c r="C130" s="89"/>
      <c r="D130" s="89"/>
      <c r="E130" s="89"/>
      <c r="F130" s="89"/>
      <c r="G130" s="89"/>
      <c r="H130" s="89"/>
      <c r="I130" s="89"/>
      <c r="J130" s="89"/>
      <c r="K130" s="89"/>
      <c r="L130" s="89"/>
      <c r="M130" s="89"/>
      <c r="N130" s="89"/>
    </row>
    <row r="131" spans="1:14" ht="12.75">
      <c r="A131" s="89"/>
      <c r="B131" s="89"/>
      <c r="C131" s="89"/>
      <c r="D131" s="89"/>
      <c r="E131" s="89"/>
      <c r="F131" s="89"/>
      <c r="G131" s="89"/>
      <c r="H131" s="89"/>
      <c r="I131" s="89"/>
      <c r="J131" s="89"/>
      <c r="K131" s="89"/>
      <c r="L131" s="89"/>
      <c r="M131" s="89"/>
      <c r="N131" s="89"/>
    </row>
    <row r="132" spans="1:14" ht="12.75">
      <c r="A132" s="89"/>
      <c r="B132" s="89"/>
      <c r="C132" s="89"/>
      <c r="D132" s="89"/>
      <c r="E132" s="89"/>
      <c r="F132" s="89"/>
      <c r="G132" s="89"/>
      <c r="H132" s="89"/>
      <c r="I132" s="89"/>
      <c r="J132" s="89"/>
      <c r="K132" s="89"/>
      <c r="L132" s="89"/>
      <c r="M132" s="89"/>
      <c r="N132" s="89"/>
    </row>
    <row r="133" spans="1:14" ht="12.75">
      <c r="A133" s="89"/>
      <c r="B133" s="89"/>
      <c r="C133" s="89"/>
      <c r="D133" s="89"/>
      <c r="E133" s="89"/>
      <c r="F133" s="89"/>
      <c r="G133" s="89"/>
      <c r="H133" s="89"/>
      <c r="I133" s="89"/>
      <c r="J133" s="89"/>
      <c r="K133" s="89"/>
      <c r="L133" s="89"/>
      <c r="M133" s="89"/>
      <c r="N133" s="89"/>
    </row>
    <row r="134" spans="1:14" ht="12.75">
      <c r="A134" s="89" t="s">
        <v>235</v>
      </c>
      <c r="B134" s="89"/>
      <c r="C134" s="89"/>
      <c r="D134" s="89"/>
      <c r="E134" s="89"/>
      <c r="F134" s="89"/>
      <c r="G134" s="89"/>
      <c r="H134" s="89"/>
      <c r="I134" s="89"/>
      <c r="J134" s="89"/>
      <c r="K134" s="89"/>
      <c r="L134" s="89"/>
      <c r="M134" s="89"/>
      <c r="N134" s="89"/>
    </row>
    <row r="135" spans="1:14" ht="12.75">
      <c r="A135" s="89"/>
      <c r="B135" s="89"/>
      <c r="C135" s="89"/>
      <c r="D135" s="89"/>
      <c r="E135" s="89"/>
      <c r="F135" s="89"/>
      <c r="G135" s="89"/>
      <c r="H135" s="89"/>
      <c r="I135" s="89"/>
      <c r="J135" s="89"/>
      <c r="K135" s="89"/>
      <c r="L135" s="89"/>
      <c r="M135" s="89"/>
      <c r="N135" s="89"/>
    </row>
    <row r="136" spans="1:14" ht="12.75">
      <c r="A136" s="89"/>
      <c r="B136" s="89"/>
      <c r="C136" s="89"/>
      <c r="D136" s="89"/>
      <c r="E136" s="89"/>
      <c r="F136" s="89"/>
      <c r="G136" s="89"/>
      <c r="H136" s="89"/>
      <c r="I136" s="89"/>
      <c r="J136" s="89"/>
      <c r="K136" s="89"/>
      <c r="L136" s="89"/>
      <c r="M136" s="89"/>
      <c r="N136" s="89"/>
    </row>
    <row r="137" spans="1:14" ht="12.75">
      <c r="A137" s="89"/>
      <c r="B137" s="89"/>
      <c r="C137" s="89"/>
      <c r="D137" s="89"/>
      <c r="E137" s="89"/>
      <c r="F137" s="89"/>
      <c r="G137" s="89"/>
      <c r="H137" s="89"/>
      <c r="I137" s="89"/>
      <c r="J137" s="89"/>
      <c r="K137" s="89"/>
      <c r="L137" s="89"/>
      <c r="M137" s="89"/>
      <c r="N137" s="89"/>
    </row>
    <row r="138" spans="1:14" ht="12.75">
      <c r="A138" s="89"/>
      <c r="B138" s="89"/>
      <c r="C138" s="89"/>
      <c r="D138" s="89"/>
      <c r="E138" s="89"/>
      <c r="F138" s="89"/>
      <c r="G138" s="89"/>
      <c r="H138" s="89"/>
      <c r="I138" s="89"/>
      <c r="J138" s="89"/>
      <c r="K138" s="89"/>
      <c r="L138" s="89"/>
      <c r="M138" s="89"/>
      <c r="N138" s="89"/>
    </row>
    <row r="139" ht="60.75" customHeight="1"/>
    <row r="140" spans="1:14" ht="12.75">
      <c r="A140" s="89" t="s">
        <v>236</v>
      </c>
      <c r="B140" s="89"/>
      <c r="C140" s="89"/>
      <c r="D140" s="89"/>
      <c r="E140" s="89"/>
      <c r="F140" s="89"/>
      <c r="G140" s="89"/>
      <c r="H140" s="89"/>
      <c r="I140" s="89"/>
      <c r="J140" s="89"/>
      <c r="K140" s="89"/>
      <c r="L140" s="89"/>
      <c r="M140" s="89"/>
      <c r="N140" s="89"/>
    </row>
    <row r="141" spans="1:14" ht="12.75">
      <c r="A141" s="89"/>
      <c r="B141" s="89"/>
      <c r="C141" s="89"/>
      <c r="D141" s="89"/>
      <c r="E141" s="89"/>
      <c r="F141" s="89"/>
      <c r="G141" s="89"/>
      <c r="H141" s="89"/>
      <c r="I141" s="89"/>
      <c r="J141" s="89"/>
      <c r="K141" s="89"/>
      <c r="L141" s="89"/>
      <c r="M141" s="89"/>
      <c r="N141" s="89"/>
    </row>
    <row r="142" spans="1:14" ht="12.75">
      <c r="A142" s="89"/>
      <c r="B142" s="89"/>
      <c r="C142" s="89"/>
      <c r="D142" s="89"/>
      <c r="E142" s="89"/>
      <c r="F142" s="89"/>
      <c r="G142" s="89"/>
      <c r="H142" s="89"/>
      <c r="I142" s="89"/>
      <c r="J142" s="89"/>
      <c r="K142" s="89"/>
      <c r="L142" s="89"/>
      <c r="M142" s="89"/>
      <c r="N142" s="89"/>
    </row>
    <row r="143" spans="1:14" ht="12.75">
      <c r="A143" s="89"/>
      <c r="B143" s="89"/>
      <c r="C143" s="89"/>
      <c r="D143" s="89"/>
      <c r="E143" s="89"/>
      <c r="F143" s="89"/>
      <c r="G143" s="89"/>
      <c r="H143" s="89"/>
      <c r="I143" s="89"/>
      <c r="J143" s="89"/>
      <c r="K143" s="89"/>
      <c r="L143" s="89"/>
      <c r="M143" s="89"/>
      <c r="N143" s="89"/>
    </row>
    <row r="144" spans="1:14" ht="12.75">
      <c r="A144" s="89"/>
      <c r="B144" s="89"/>
      <c r="C144" s="89"/>
      <c r="D144" s="89"/>
      <c r="E144" s="89"/>
      <c r="F144" s="89"/>
      <c r="G144" s="89"/>
      <c r="H144" s="89"/>
      <c r="I144" s="89"/>
      <c r="J144" s="89"/>
      <c r="K144" s="89"/>
      <c r="L144" s="89"/>
      <c r="M144" s="89"/>
      <c r="N144" s="89"/>
    </row>
    <row r="146" spans="1:14" ht="12.75">
      <c r="A146" s="89"/>
      <c r="B146" s="89"/>
      <c r="C146" s="89"/>
      <c r="D146" s="89"/>
      <c r="E146" s="89"/>
      <c r="F146" s="89"/>
      <c r="G146" s="89"/>
      <c r="H146" s="89"/>
      <c r="I146" s="89"/>
      <c r="J146" s="89"/>
      <c r="K146" s="89"/>
      <c r="L146" s="89"/>
      <c r="M146" s="89"/>
      <c r="N146" s="89"/>
    </row>
    <row r="147" spans="1:14" ht="12.75">
      <c r="A147" s="89"/>
      <c r="B147" s="89"/>
      <c r="C147" s="89"/>
      <c r="D147" s="89"/>
      <c r="E147" s="89"/>
      <c r="F147" s="89"/>
      <c r="G147" s="89"/>
      <c r="H147" s="89"/>
      <c r="I147" s="89"/>
      <c r="J147" s="89"/>
      <c r="K147" s="89"/>
      <c r="L147" s="89"/>
      <c r="M147" s="89"/>
      <c r="N147" s="89"/>
    </row>
    <row r="148" spans="1:14" ht="12.75">
      <c r="A148" s="89"/>
      <c r="B148" s="89"/>
      <c r="C148" s="89"/>
      <c r="D148" s="89"/>
      <c r="E148" s="89"/>
      <c r="F148" s="89"/>
      <c r="G148" s="89"/>
      <c r="H148" s="89"/>
      <c r="I148" s="89"/>
      <c r="J148" s="89"/>
      <c r="K148" s="89"/>
      <c r="L148" s="89"/>
      <c r="M148" s="89"/>
      <c r="N148" s="89"/>
    </row>
    <row r="149" spans="1:14" ht="12.75">
      <c r="A149" s="89"/>
      <c r="B149" s="89"/>
      <c r="C149" s="89"/>
      <c r="D149" s="89"/>
      <c r="E149" s="89"/>
      <c r="F149" s="89"/>
      <c r="G149" s="89"/>
      <c r="H149" s="89"/>
      <c r="I149" s="89"/>
      <c r="J149" s="89"/>
      <c r="K149" s="89"/>
      <c r="L149" s="89"/>
      <c r="M149" s="89"/>
      <c r="N149" s="89"/>
    </row>
    <row r="150" spans="1:14" ht="12.75">
      <c r="A150" s="89"/>
      <c r="B150" s="89"/>
      <c r="C150" s="89"/>
      <c r="D150" s="89"/>
      <c r="E150" s="89"/>
      <c r="F150" s="89"/>
      <c r="G150" s="89"/>
      <c r="H150" s="89"/>
      <c r="I150" s="89"/>
      <c r="J150" s="89"/>
      <c r="K150" s="89"/>
      <c r="L150" s="89"/>
      <c r="M150" s="89"/>
      <c r="N150" s="89"/>
    </row>
    <row r="152" spans="1:14" ht="12.75">
      <c r="A152" s="89"/>
      <c r="B152" s="89"/>
      <c r="C152" s="89"/>
      <c r="D152" s="89"/>
      <c r="E152" s="89"/>
      <c r="F152" s="89"/>
      <c r="G152" s="89"/>
      <c r="H152" s="89"/>
      <c r="I152" s="89"/>
      <c r="J152" s="89"/>
      <c r="K152" s="89"/>
      <c r="L152" s="89"/>
      <c r="M152" s="89"/>
      <c r="N152" s="89"/>
    </row>
    <row r="153" spans="1:14" ht="12.75">
      <c r="A153" s="89"/>
      <c r="B153" s="89"/>
      <c r="C153" s="89"/>
      <c r="D153" s="89"/>
      <c r="E153" s="89"/>
      <c r="F153" s="89"/>
      <c r="G153" s="89"/>
      <c r="H153" s="89"/>
      <c r="I153" s="89"/>
      <c r="J153" s="89"/>
      <c r="K153" s="89"/>
      <c r="L153" s="89"/>
      <c r="M153" s="89"/>
      <c r="N153" s="89"/>
    </row>
    <row r="154" spans="1:14" ht="12.75">
      <c r="A154" s="89"/>
      <c r="B154" s="89"/>
      <c r="C154" s="89"/>
      <c r="D154" s="89"/>
      <c r="E154" s="89"/>
      <c r="F154" s="89"/>
      <c r="G154" s="89"/>
      <c r="H154" s="89"/>
      <c r="I154" s="89"/>
      <c r="J154" s="89"/>
      <c r="K154" s="89"/>
      <c r="L154" s="89"/>
      <c r="M154" s="89"/>
      <c r="N154" s="89"/>
    </row>
    <row r="155" spans="1:14" ht="12.75">
      <c r="A155" s="89"/>
      <c r="B155" s="89"/>
      <c r="C155" s="89"/>
      <c r="D155" s="89"/>
      <c r="E155" s="89"/>
      <c r="F155" s="89"/>
      <c r="G155" s="89"/>
      <c r="H155" s="89"/>
      <c r="I155" s="89"/>
      <c r="J155" s="89"/>
      <c r="K155" s="89"/>
      <c r="L155" s="89"/>
      <c r="M155" s="89"/>
      <c r="N155" s="89"/>
    </row>
    <row r="156" spans="1:14" ht="12.75">
      <c r="A156" s="89"/>
      <c r="B156" s="89"/>
      <c r="C156" s="89"/>
      <c r="D156" s="89"/>
      <c r="E156" s="89"/>
      <c r="F156" s="89"/>
      <c r="G156" s="89"/>
      <c r="H156" s="89"/>
      <c r="I156" s="89"/>
      <c r="J156" s="89"/>
      <c r="K156" s="89"/>
      <c r="L156" s="89"/>
      <c r="M156" s="89"/>
      <c r="N156" s="89"/>
    </row>
    <row r="158" spans="1:14" ht="12.75">
      <c r="A158" s="89"/>
      <c r="B158" s="89"/>
      <c r="C158" s="89"/>
      <c r="D158" s="89"/>
      <c r="E158" s="89"/>
      <c r="F158" s="89"/>
      <c r="G158" s="89"/>
      <c r="H158" s="89"/>
      <c r="I158" s="89"/>
      <c r="J158" s="89"/>
      <c r="K158" s="89"/>
      <c r="L158" s="89"/>
      <c r="M158" s="89"/>
      <c r="N158" s="89"/>
    </row>
    <row r="159" spans="1:14" ht="12.75">
      <c r="A159" s="89"/>
      <c r="B159" s="89"/>
      <c r="C159" s="89"/>
      <c r="D159" s="89"/>
      <c r="E159" s="89"/>
      <c r="F159" s="89"/>
      <c r="G159" s="89"/>
      <c r="H159" s="89"/>
      <c r="I159" s="89"/>
      <c r="J159" s="89"/>
      <c r="K159" s="89"/>
      <c r="L159" s="89"/>
      <c r="M159" s="89"/>
      <c r="N159" s="89"/>
    </row>
    <row r="160" spans="1:14" ht="12.75">
      <c r="A160" s="89"/>
      <c r="B160" s="89"/>
      <c r="C160" s="89"/>
      <c r="D160" s="89"/>
      <c r="E160" s="89"/>
      <c r="F160" s="89"/>
      <c r="G160" s="89"/>
      <c r="H160" s="89"/>
      <c r="I160" s="89"/>
      <c r="J160" s="89"/>
      <c r="K160" s="89"/>
      <c r="L160" s="89"/>
      <c r="M160" s="89"/>
      <c r="N160" s="89"/>
    </row>
    <row r="161" spans="1:14" ht="12.75">
      <c r="A161" s="89"/>
      <c r="B161" s="89"/>
      <c r="C161" s="89"/>
      <c r="D161" s="89"/>
      <c r="E161" s="89"/>
      <c r="F161" s="89"/>
      <c r="G161" s="89"/>
      <c r="H161" s="89"/>
      <c r="I161" s="89"/>
      <c r="J161" s="89"/>
      <c r="K161" s="89"/>
      <c r="L161" s="89"/>
      <c r="M161" s="89"/>
      <c r="N161" s="89"/>
    </row>
    <row r="162" spans="1:14" ht="12.75">
      <c r="A162" s="89"/>
      <c r="B162" s="89"/>
      <c r="C162" s="89"/>
      <c r="D162" s="89"/>
      <c r="E162" s="89"/>
      <c r="F162" s="89"/>
      <c r="G162" s="89"/>
      <c r="H162" s="89"/>
      <c r="I162" s="89"/>
      <c r="J162" s="89"/>
      <c r="K162" s="89"/>
      <c r="L162" s="89"/>
      <c r="M162" s="89"/>
      <c r="N162" s="89"/>
    </row>
  </sheetData>
  <sheetProtection/>
  <mergeCells count="42">
    <mergeCell ref="A9:N13"/>
    <mergeCell ref="A15:N19"/>
    <mergeCell ref="A21:N21"/>
    <mergeCell ref="A23:N23"/>
    <mergeCell ref="A33:N33"/>
    <mergeCell ref="A35:N35"/>
    <mergeCell ref="A37:N38"/>
    <mergeCell ref="A25:N25"/>
    <mergeCell ref="A27:N27"/>
    <mergeCell ref="A28:N29"/>
    <mergeCell ref="A31:N31"/>
    <mergeCell ref="A119:N119"/>
    <mergeCell ref="A81:N81"/>
    <mergeCell ref="A53:N53"/>
    <mergeCell ref="A40:N40"/>
    <mergeCell ref="A42:N46"/>
    <mergeCell ref="A47:N51"/>
    <mergeCell ref="A71:N75"/>
    <mergeCell ref="A76:N76"/>
    <mergeCell ref="A78:N80"/>
    <mergeCell ref="A107:N110"/>
    <mergeCell ref="A101:N101"/>
    <mergeCell ref="A55:N59"/>
    <mergeCell ref="A61:N61"/>
    <mergeCell ref="A63:N67"/>
    <mergeCell ref="A69:N69"/>
    <mergeCell ref="A83:N87"/>
    <mergeCell ref="A88:N88"/>
    <mergeCell ref="A90:N94"/>
    <mergeCell ref="A96:N99"/>
    <mergeCell ref="A103:N103"/>
    <mergeCell ref="A105:N105"/>
    <mergeCell ref="A140:N144"/>
    <mergeCell ref="A146:N150"/>
    <mergeCell ref="A152:N156"/>
    <mergeCell ref="A158:N162"/>
    <mergeCell ref="A111:N111"/>
    <mergeCell ref="A113:N117"/>
    <mergeCell ref="A121:N125"/>
    <mergeCell ref="A126:N126"/>
    <mergeCell ref="A128:N133"/>
    <mergeCell ref="A134:N138"/>
  </mergeCells>
  <printOptions/>
  <pageMargins left="0.75" right="0.25" top="1" bottom="1" header="0.5" footer="0.5"/>
  <pageSetup fitToHeight="3" horizontalDpi="600" verticalDpi="600" orientation="portrait" scale="76" r:id="rId1"/>
  <headerFooter alignWithMargins="0">
    <oddFooter>&amp;CPage &amp;P of &amp;N</oddFooter>
  </headerFooter>
  <rowBreaks count="2" manualBreakCount="2">
    <brk id="60" max="13" man="1"/>
    <brk id="11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Superannaution Warehouse</Company>
  <HyperlinkBase>www.superannuationwarehouse.com.au</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Financial Statements</dc:title>
  <dc:subject>2010</dc:subject>
  <dc:creator>Hein Preller</dc:creator>
  <cp:keywords>SMSF</cp:keywords>
  <dc:description>Work of Superannuation Warehouse</dc:description>
  <cp:lastModifiedBy>U1</cp:lastModifiedBy>
  <cp:lastPrinted>2011-11-13T04:52:29Z</cp:lastPrinted>
  <dcterms:created xsi:type="dcterms:W3CDTF">2011-02-09T22:37:04Z</dcterms:created>
  <dcterms:modified xsi:type="dcterms:W3CDTF">2014-10-07T22:48:29Z</dcterms:modified>
  <cp:category>Financials</cp:category>
  <cp:version/>
  <cp:contentType/>
  <cp:contentStatus/>
</cp:coreProperties>
</file>